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ФХД'!$P$66</definedName>
    <definedName name="B_FHD_CHECK_INDEX_2">'Показатели ФХД'!$P$68</definedName>
    <definedName name="B_FHD_COSTS_INDEX_1">'Показатели ФХД'!$H$65:$N$65</definedName>
    <definedName name="B_FHD_COSTS_INDEX_2">'Показатели ФХД'!$H$67:$N$67</definedName>
    <definedName name="B_FHD_DATA_TOP80_ACTIVITY">'Показатели ФХД'!$H$81:$N$81</definedName>
    <definedName name="B_FHD_diff_1">'Показатели ФХД'!$I$25:$I$27</definedName>
    <definedName name="B_FHD_FLAG_DIFFERENTIATION">'Показатели ФХД'!$H$24:$N$24</definedName>
    <definedName name="B_FHD_FLAG_INDEX_1">'Показатели ФХД'!$H$66:$N$66</definedName>
    <definedName name="B_FHD_FLAG_INDEX_2">'Показатели ФХД'!$H$68:$N$68</definedName>
    <definedName name="B_FHD_TKO_DATA_TOP80_ACTIVITY">'ТКО. Показатели ФХД'!$H$43:$N$43</definedName>
    <definedName name="B_FHD_TKO_diff_1">'ТКО. Показатели ФХД'!$I$10:$I$12</definedName>
    <definedName name="B_FHD_TKO_FLAG_DIFFERENTIATION">'ТКО. Показатели ФХД'!$H$9:$N$9</definedName>
    <definedName name="B_FHD_TKO_TRANS_DATA_TOP80_ACTIVITY">'ТКО. Транс. Показатели ФХД'!$H$35:$N$35</definedName>
    <definedName name="B_FHD_TKO_TRANS_diff_1">'ТКО. Транс. Показатели ФХД'!$I$10:$I$12</definedName>
    <definedName name="B_FHD_TKO_TRANS_FLAG_DIFFERENTIATION">'ТКО. Транс. Показатели ФХД'!$H$9:$N$9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&gt;20%'!$V$11:$V$59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ОТЭП'!$L$9:$S$9</definedName>
    <definedName name="B_OTEP_HEAT_DATA_TOP80_ACTIVITY">'Показатели ОТЭП'!$L$15:$S$15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Дифференциация!$I$12:$I$26</definedName>
    <definedName name="DIFFERENTIATION_AREA_ID">Дифференциация!$U$11:$U$27</definedName>
    <definedName name="DIFFERENTIATION_CheckC">Дифференциация!$D$12:$M$26</definedName>
    <definedName name="DIFFERENTIATION_fieldMarker">Дифференциация!$W$12:$W$26</definedName>
    <definedName name="DIFFERENTIATION_ID">TEHSHEET!$E$57</definedName>
    <definedName name="DIFFERENTIATION_ID_DIFF">Дифференциация!$O$12:$O$26</definedName>
    <definedName name="DIFFERENTIATION_SYSTEM">Дифференциация!$M$12:$M$26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Дифференциация!$Q$12:$Q$26</definedName>
    <definedName name="DIFFERENTIATION_UNMERGE_SYSTEM">Дифференциация!$R$12:$R$26</definedName>
    <definedName name="DIFFERENTIATION_UNMERGE_VD">Дифференциация!$P$12:$P$26</definedName>
    <definedName name="DIFFERENTIATION_VD">Дифференциация!$E$12:$E$26</definedName>
    <definedName name="DIFFERENTIATION_VD_ID">Дифференциация!$V$11:$V$27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Ограничения!$F$36:$S$36</definedName>
    <definedName name="flag_Q_LIMIT_p4">Ограничения!$F$500:$S$500</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Дифференциация!$G$12:$G$26</definedName>
    <definedName name="pDel_DIFFERENTIATION_SYSTEM">Дифференциация!$K$12:$K$26</definedName>
    <definedName name="pDel_DIFFERENTIATION_VD">Дифференциация!$C$12:$C$26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ФХД'!$N$24</definedName>
    <definedName name="pIns_B_FHD_TKO_2">'ТКО. Показатели ФХД'!$F$34</definedName>
    <definedName name="pIns_B_FHD_TKO_DIFFERENTIATION">'ТКО. Показатели ФХД'!$N$9</definedName>
    <definedName name="pIns_B_FHD_TKO_TRANS_2">'ТКО. Транс. Показатели ФХД'!$F$29</definedName>
    <definedName name="pIns_B_FHD_TKO_TRANS_DIFFERENTIATION">'ТКО. Транс. Показатели ФХД'!$N$9</definedName>
    <definedName name="pIns_B_FHD20_DIFFERENTIATION">'Показатели ФХД &gt;20%'!$D$59</definedName>
    <definedName name="pIns_B_KNE_DIFFERENTIATION">'Показатели КНЭ'!$S$6</definedName>
    <definedName name="pIns_B_OTEP_2">'Показатели ОТЭП'!$J$18</definedName>
    <definedName name="pIns_B_OTEP_DIFFERENTIATION">'Показатели ОТЭП'!$R$9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Ограничения!$E$499</definedName>
    <definedName name="pIns_Q_LIMIT_4">Ограничения!$E$501</definedName>
    <definedName name="pIns_Q_LIMIT_DIFFERENTIATION">Ограничения!$S$25</definedName>
    <definedName name="pIns_Q_PH_DIFFERENTIATION">'Потребительские характеристики'!$S$8</definedName>
    <definedName name="pIns_Q_TP_1">ТП!$E$22</definedName>
    <definedName name="pIns_Q_TP_DIFFERENTIATION">ТП!$M$8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Ограничения!$S$26</definedName>
    <definedName name="pNote_Q_PH">'Потребительские характеристики'!$S$9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Ограничения!$E$32:$S$501</definedName>
    <definedName name="Q_LIMIT_diff_1">Ограничения!$I$26:$J$28</definedName>
    <definedName name="Q_LIMIT_p3">Ограничения!$F$36:$S$499</definedName>
    <definedName name="Q_LIMIT_p4">Ограничения!$F$500:$S$501</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ФХД'!$N$131</definedName>
    <definedName name="tblEnd_1_B_FHD_TKO">'ТКО. Показатели ФХД'!$N$47</definedName>
    <definedName name="tblEnd_1_B_FHD_TKO_TRANS">'ТКО. Транс. Показатели ФХД'!$N$38</definedName>
    <definedName name="tblEnd_1_B_KNE">'Показатели КНЭ'!$J$101</definedName>
    <definedName name="tblEnd_1_B_OTEP">'Показатели ОТЭП'!$R$34</definedName>
    <definedName name="tblEnd_1_B_STANDARTS">'Стандарты качества'!$L$13</definedName>
    <definedName name="tblEnd_1_CHANGE_INFO">'Сведения об изменении'!$E$14</definedName>
    <definedName name="tblEnd_1_DIFFERENTIATION">Дифференциация!$M$27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Ограничения!$S$502</definedName>
    <definedName name="tblEnd_1_Q_PH">'Потребительские характеристики'!$S$21</definedName>
    <definedName name="tblEnd_1_Q_TP">ТП!$M$23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Дифференциация!$F$12:$F$26</definedName>
    <definedName name="Y_N_DIFFERENTIATION_SYSTEM">Дифференциация!$J$12:$J$26</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DESCRIPTION_TERRITORY">REESTR_DS!$B$2:$B$4</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<sst xmlns="http://schemas.openxmlformats.org/spreadsheetml/2006/main" count="22647" uniqueCount="3904">
  <si>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</si>
  <si>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</si>
  <si>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</si>
  <si>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</si>
  <si>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</si>
  <si>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</si>
  <si>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</si>
  <si>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</si>
  <si>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</si>
  <si>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</si>
  <si>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</si>
  <si>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</si>
  <si>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</si>
  <si>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31670539</t>
  </si>
  <si>
    <t>Flag_Row_Size</t>
  </si>
  <si>
    <t>Субъект РФ</t>
  </si>
  <si>
    <t>Амурская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</si>
  <si>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</si>
  <si>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</si>
  <si>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</si>
  <si>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</si>
  <si>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</si>
  <si>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</si>
  <si>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</si>
  <si>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</si>
  <si>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</si>
  <si>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</si>
  <si>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</si>
  <si>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</si>
  <si>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</si>
  <si>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</si>
  <si>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</si>
  <si>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</si>
  <si>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</si>
  <si>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</si>
  <si>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</si>
  <si>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</si>
  <si>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</si>
  <si>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</si>
  <si>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</si>
  <si>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</si>
  <si>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</si>
  <si>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</si>
  <si>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</si>
  <si>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</si>
  <si>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</si>
  <si>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</si>
  <si>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</si>
  <si>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</si>
  <si>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</si>
  <si>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</si>
  <si>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280145002</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</si>
  <si>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</si>
  <si>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</si>
  <si>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</si>
  <si>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</si>
  <si>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</si>
  <si>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</si>
  <si>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</si>
  <si>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</si>
  <si>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</si>
  <si>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</si>
  <si>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</si>
  <si>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</si>
  <si>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</si>
  <si>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</si>
  <si>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</si>
  <si>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</si>
  <si>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</si>
  <si>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</si>
  <si>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680000, г. Хабаровск, ул. Фрунзе, 49 </t>
  </si>
  <si>
    <t>Фамилия, имя, отчество руководителя</t>
  </si>
  <si>
    <t>Иртов Сергей Викторович</t>
  </si>
  <si>
    <t>Ответственный за заполнение формы</t>
  </si>
  <si>
    <t>Фамилия, имя, отчество</t>
  </si>
  <si>
    <t>Томашук Оксана Николаевна</t>
  </si>
  <si>
    <t>Должность</t>
  </si>
  <si>
    <t>главный специалист</t>
  </si>
  <si>
    <t>Контактный телефон</t>
  </si>
  <si>
    <t>8 (4212) 26-44-97</t>
  </si>
  <si>
    <t>E-mail</t>
  </si>
  <si>
    <t>tomashuk-on@dgk.ru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</si>
  <si>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</si>
  <si>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</si>
  <si>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</si>
  <si>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</si>
  <si>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</si>
  <si>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</si>
  <si>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</si>
  <si>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</si>
  <si>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</si>
  <si>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</si>
  <si>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</si>
  <si>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</si>
  <si>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</si>
  <si>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</si>
  <si>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</si>
  <si>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</si>
  <si>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</si>
  <si>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Город Благовещенск</t>
  </si>
  <si>
    <t>10701000</t>
  </si>
  <si>
    <t>Добавить МО</t>
  </si>
  <si>
    <t>2</t>
  </si>
  <si>
    <t>×</t>
  </si>
  <si>
    <t>ter_5</t>
  </si>
  <si>
    <t>104</t>
  </si>
  <si>
    <t>Прогресс</t>
  </si>
  <si>
    <t>10775000</t>
  </si>
  <si>
    <t>ter_51</t>
  </si>
  <si>
    <t>Благовещенский муниципальный округ</t>
  </si>
  <si>
    <t>Территория упразднённого муниципального образования Чигиринский сельсовет</t>
  </si>
  <si>
    <t>10511440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</si>
  <si>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</si>
  <si>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</si>
  <si>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</si>
  <si>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</si>
  <si>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</si>
  <si>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</si>
  <si>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</si>
  <si>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</si>
  <si>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</si>
  <si>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</si>
  <si>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</si>
  <si>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</si>
  <si>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</si>
  <si>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Благовещенская ТЭЦ (г. Благовещенск)</t>
  </si>
  <si>
    <t>diff_1</t>
  </si>
  <si>
    <t>4190066; 4190068; 4190070</t>
  </si>
  <si>
    <t>a</t>
  </si>
  <si>
    <t>Добавить централизованную систему</t>
  </si>
  <si>
    <t xml:space="preserve">Райчихинская ГРЭС </t>
  </si>
  <si>
    <t>diff_5</t>
  </si>
  <si>
    <t>Добавить описание территории</t>
  </si>
  <si>
    <t>Котельная "Агромех" (п.г.т. Новорайчихинск)</t>
  </si>
  <si>
    <t>diff_51</t>
  </si>
  <si>
    <t>4190064</t>
  </si>
  <si>
    <t xml:space="preserve">Котельная "Центральная" (с. Чигири ) </t>
  </si>
  <si>
    <t>diff_5111</t>
  </si>
  <si>
    <t>Благовещенская ТЭЦ (с. Чигири)</t>
  </si>
  <si>
    <t>diff_511</t>
  </si>
  <si>
    <t>4190066</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</si>
  <si>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</si>
  <si>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</si>
  <si>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</si>
  <si>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</si>
  <si>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</si>
  <si>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</si>
  <si>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</si>
  <si>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</si>
  <si>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</si>
  <si>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</si>
  <si>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</si>
  <si>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</si>
  <si>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</si>
  <si>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</si>
  <si>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</si>
  <si>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</si>
  <si>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</si>
  <si>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</si>
  <si>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</si>
  <si>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</si>
  <si>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</si>
  <si>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</si>
  <si>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</si>
  <si>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</si>
  <si>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</si>
  <si>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</si>
  <si>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</si>
  <si>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</si>
  <si>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</si>
  <si>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</si>
  <si>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</si>
  <si>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</si>
  <si>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</si>
  <si>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</si>
  <si>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</si>
  <si>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</si>
  <si>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</si>
  <si>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</si>
  <si>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</si>
  <si>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</si>
  <si>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</si>
  <si>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</si>
  <si>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</si>
  <si>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</si>
  <si>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</si>
  <si>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</si>
  <si>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</si>
  <si>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</si>
  <si>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</si>
  <si>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</si>
  <si>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</si>
  <si>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</si>
  <si>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</si>
  <si>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</si>
  <si>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</si>
  <si>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</si>
  <si>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</si>
  <si>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</si>
  <si>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</si>
  <si>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</si>
  <si>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</si>
  <si>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</si>
  <si>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</si>
  <si>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</si>
  <si>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</si>
  <si>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</si>
  <si>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</si>
  <si>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</si>
  <si>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</si>
  <si>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</si>
  <si>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</si>
  <si>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</si>
  <si>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</si>
  <si>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</si>
  <si>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</si>
  <si>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</si>
  <si>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</si>
  <si>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</si>
  <si>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</si>
  <si>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</si>
  <si>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</si>
  <si>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</si>
  <si>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</si>
  <si>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</si>
  <si>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</si>
  <si>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</si>
  <si>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</si>
  <si>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</si>
  <si>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</si>
  <si>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</si>
  <si>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</si>
  <si>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</si>
  <si>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</si>
  <si>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</si>
  <si>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</si>
  <si>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</si>
  <si>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</si>
  <si>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</si>
  <si>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</si>
  <si>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</si>
  <si>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</si>
  <si>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</si>
  <si>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</si>
  <si>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</si>
  <si>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</si>
  <si>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</si>
  <si>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</si>
  <si>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</si>
  <si>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</si>
  <si>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</si>
  <si>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</si>
  <si>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</si>
  <si>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</si>
  <si>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</si>
  <si>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</si>
  <si>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</si>
  <si>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</si>
  <si>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</si>
  <si>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</si>
  <si>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</si>
  <si>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</si>
  <si>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</si>
  <si>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</si>
  <si>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</si>
  <si>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</si>
  <si>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</si>
  <si>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</si>
  <si>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</si>
  <si>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</si>
  <si>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</si>
  <si>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</si>
  <si>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</si>
  <si>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</si>
  <si>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</si>
  <si>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</si>
  <si>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</si>
  <si>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</si>
  <si>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</si>
  <si>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</si>
  <si>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</si>
  <si>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</si>
  <si>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</si>
  <si>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</si>
  <si>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</si>
  <si>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</si>
  <si>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</si>
  <si>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</si>
  <si>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</si>
  <si>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</si>
  <si>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</si>
  <si>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</si>
  <si>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</si>
  <si>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</si>
  <si>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</si>
  <si>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</si>
  <si>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</si>
  <si>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</si>
  <si>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</si>
  <si>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</si>
  <si>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</si>
  <si>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</si>
  <si>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</si>
  <si>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</si>
  <si>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</si>
  <si>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</si>
  <si>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</si>
  <si>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</si>
  <si>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</si>
  <si>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</si>
  <si>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</si>
  <si>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</si>
  <si>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</si>
  <si>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</si>
  <si>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</si>
  <si>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</si>
  <si>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</si>
  <si>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</si>
  <si>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</si>
  <si>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</si>
  <si>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</si>
  <si>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</si>
  <si>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</si>
  <si>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</si>
  <si>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</si>
  <si>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</si>
  <si>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</si>
  <si>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</si>
  <si>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</si>
  <si>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</si>
  <si>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</si>
  <si>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</si>
  <si>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</si>
  <si>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</si>
  <si>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</si>
  <si>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</si>
  <si>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</si>
  <si>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</si>
  <si>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</si>
  <si>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</si>
  <si>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</si>
  <si>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</si>
  <si>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</si>
  <si>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</si>
  <si>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</si>
  <si>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</si>
  <si>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</si>
  <si>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</si>
  <si>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</si>
  <si>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</si>
  <si>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</si>
  <si>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</si>
  <si>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</si>
  <si>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</si>
  <si>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</si>
  <si>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</si>
  <si>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</si>
  <si>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</si>
  <si>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</si>
  <si>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</si>
  <si>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</si>
  <si>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</si>
  <si>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</si>
  <si>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</si>
  <si>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</si>
  <si>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</si>
  <si>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</si>
  <si>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</si>
  <si>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</si>
  <si>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</si>
  <si>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</si>
  <si>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</si>
  <si>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</si>
  <si>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</si>
  <si>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</si>
  <si>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</si>
  <si>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</si>
  <si>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</si>
  <si>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</si>
  <si>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</si>
  <si>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</si>
  <si>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</si>
  <si>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</si>
  <si>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</si>
  <si>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</si>
  <si>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</si>
  <si>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</si>
  <si>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</si>
  <si>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</si>
  <si>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</si>
  <si>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</si>
  <si>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</si>
  <si>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</si>
  <si>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</si>
  <si>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</si>
  <si>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</si>
  <si>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</si>
  <si>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</si>
  <si>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</si>
  <si>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</si>
  <si>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</si>
  <si>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</si>
  <si>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</si>
  <si>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</si>
  <si>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</si>
  <si>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</si>
  <si>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</si>
  <si>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</si>
  <si>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</si>
  <si>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</si>
  <si>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</si>
  <si>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</si>
  <si>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</si>
  <si>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</si>
  <si>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</si>
  <si>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</si>
  <si>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</si>
  <si>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</si>
  <si>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</si>
  <si>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</si>
  <si>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</si>
  <si>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</si>
  <si>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</si>
  <si>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</si>
  <si>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</si>
  <si>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</si>
  <si>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</si>
  <si>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</si>
  <si>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</si>
  <si>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</si>
  <si>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</si>
  <si>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</si>
  <si>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</si>
  <si>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</si>
  <si>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</si>
  <si>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</si>
  <si>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</si>
  <si>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</si>
  <si>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</si>
  <si>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</si>
  <si>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</si>
  <si>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</si>
  <si>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</si>
  <si>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</si>
  <si>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</si>
  <si>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</si>
  <si>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</si>
  <si>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</si>
  <si>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</si>
  <si>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</si>
  <si>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</si>
  <si>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</si>
  <si>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</si>
  <si>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</si>
  <si>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</si>
  <si>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</si>
  <si>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</si>
  <si>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</si>
  <si>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</si>
  <si>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</si>
  <si>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</si>
  <si>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</si>
  <si>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</si>
  <si>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</si>
  <si>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</si>
  <si>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</si>
  <si>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</si>
  <si>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</si>
  <si>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</si>
  <si>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</si>
  <si>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</si>
  <si>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</si>
  <si>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</si>
  <si>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</si>
  <si>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</si>
  <si>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</si>
  <si>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</si>
  <si>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</si>
  <si>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</si>
  <si>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</si>
  <si>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</si>
  <si>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</si>
  <si>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</si>
  <si>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</si>
  <si>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</si>
  <si>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</si>
  <si>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</si>
  <si>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</si>
  <si>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</si>
  <si>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</si>
  <si>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</si>
  <si>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</si>
  <si>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</si>
  <si>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</si>
  <si>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</si>
  <si>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</si>
  <si>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</si>
  <si>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</si>
  <si>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</si>
  <si>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</si>
  <si>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</si>
  <si>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</si>
  <si>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</si>
  <si>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</si>
  <si>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</si>
  <si>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</si>
  <si>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</si>
  <si>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</si>
  <si>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</si>
  <si>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</si>
  <si>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</si>
  <si>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</si>
  <si>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</si>
  <si>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</si>
  <si>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</si>
  <si>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</si>
  <si>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</si>
  <si>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</si>
  <si>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</si>
  <si>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</si>
  <si>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</si>
  <si>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</si>
  <si>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</si>
  <si>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</si>
  <si>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</si>
  <si>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</si>
  <si>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</si>
  <si>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</si>
  <si>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</si>
  <si>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</si>
  <si>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</si>
  <si>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</si>
  <si>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</si>
  <si>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</si>
  <si>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</si>
  <si>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</si>
  <si>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</si>
  <si>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</si>
  <si>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</si>
  <si>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</si>
  <si>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</si>
  <si>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</si>
  <si>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</si>
  <si>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</si>
  <si>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</si>
  <si>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</si>
  <si>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</si>
  <si>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</si>
  <si>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</si>
  <si>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</si>
  <si>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</si>
  <si>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</si>
  <si>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</si>
  <si>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</si>
  <si>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</si>
  <si>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</si>
  <si>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</si>
  <si>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</si>
  <si>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</si>
  <si>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</si>
  <si>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</si>
  <si>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</si>
  <si>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</si>
  <si>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</si>
  <si>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</si>
  <si>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</si>
  <si>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</si>
  <si>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</si>
  <si>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</si>
  <si>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</si>
  <si>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</si>
  <si>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</si>
  <si>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</si>
  <si>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</si>
  <si>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</si>
  <si>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</si>
  <si>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</si>
  <si>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</si>
  <si>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</si>
  <si>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</si>
  <si>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</si>
  <si>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</si>
  <si>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</si>
  <si>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</si>
  <si>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</si>
  <si>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</si>
  <si>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</si>
  <si>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</si>
  <si>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</si>
  <si>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</si>
  <si>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</si>
  <si>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</si>
  <si>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</si>
  <si>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</si>
  <si>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</si>
  <si>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</si>
  <si>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</si>
  <si>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</si>
  <si>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</si>
  <si>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</si>
  <si>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</si>
  <si>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</si>
  <si>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</si>
  <si>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</si>
  <si>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</si>
  <si>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</si>
  <si>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</si>
  <si>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</si>
  <si>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</si>
  <si>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</si>
  <si>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</si>
  <si>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</si>
  <si>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</si>
  <si>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</si>
  <si>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</si>
  <si>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</si>
  <si>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</si>
  <si>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</si>
  <si>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</si>
  <si>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</si>
  <si>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</si>
  <si>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</si>
  <si>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</si>
  <si>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</si>
  <si>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</si>
  <si>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</si>
  <si>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</si>
  <si>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</si>
  <si>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</si>
  <si>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</si>
  <si>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</si>
  <si>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</si>
  <si>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</si>
  <si>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</si>
  <si>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</si>
  <si>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</si>
  <si>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</si>
  <si>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</si>
  <si>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</si>
  <si>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</si>
  <si>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</si>
  <si>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</si>
  <si>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</si>
  <si>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</si>
  <si>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</si>
  <si>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</si>
  <si>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</si>
  <si>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</si>
  <si>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</si>
  <si>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</si>
  <si>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</si>
  <si>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</si>
  <si>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</si>
  <si>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</si>
  <si>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</si>
  <si>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</si>
  <si>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</si>
  <si>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</si>
  <si>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</si>
  <si>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</si>
  <si>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</si>
  <si>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</si>
  <si>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</si>
  <si>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</si>
  <si>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</si>
  <si>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</si>
  <si>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</si>
  <si>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</si>
  <si>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</si>
  <si>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</si>
  <si>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</si>
  <si>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</si>
  <si>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</si>
  <si>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</si>
  <si>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</si>
  <si>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</si>
  <si>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</si>
  <si>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</si>
  <si>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</si>
  <si>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</si>
  <si>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</si>
  <si>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</si>
  <si>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</si>
  <si>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</si>
  <si>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</si>
  <si>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</si>
  <si>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</si>
  <si>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</si>
  <si>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</si>
  <si>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</si>
  <si>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</si>
  <si>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</si>
  <si>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</si>
  <si>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</si>
  <si>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</si>
  <si>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</si>
  <si>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</si>
  <si>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</si>
  <si>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</si>
  <si>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</si>
  <si>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</si>
  <si>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</si>
  <si>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</si>
  <si>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</si>
  <si>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</si>
  <si>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</si>
  <si>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</si>
  <si>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</si>
  <si>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</si>
  <si>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</si>
  <si>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</si>
  <si>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</si>
  <si>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</si>
  <si>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</si>
  <si>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</si>
  <si>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</si>
  <si>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</si>
  <si>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</si>
  <si>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</si>
  <si>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</si>
  <si>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</si>
  <si>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</si>
  <si>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</si>
  <si>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</si>
  <si>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</si>
  <si>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</si>
  <si>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</si>
  <si>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</si>
  <si>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</si>
  <si>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</si>
  <si>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</si>
  <si>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</si>
  <si>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</si>
  <si>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</si>
  <si>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</si>
  <si>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</si>
  <si>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</si>
  <si>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</si>
  <si>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</si>
  <si>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</si>
  <si>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</si>
  <si>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</si>
  <si>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</si>
  <si>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</si>
  <si>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</si>
  <si>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</si>
  <si>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</si>
  <si>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</si>
  <si>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</si>
  <si>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</si>
  <si>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</si>
  <si>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</si>
  <si>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</si>
  <si>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</si>
  <si>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</si>
  <si>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</si>
  <si>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</si>
  <si>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</si>
  <si>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</si>
  <si>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</si>
  <si>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</si>
  <si>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</si>
  <si>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</si>
  <si>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</si>
  <si>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</si>
  <si>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</si>
  <si>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</si>
  <si>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</si>
  <si>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</si>
  <si>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</si>
  <si>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</si>
  <si>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</si>
  <si>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</si>
  <si>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</si>
  <si>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</si>
  <si>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</si>
  <si>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</si>
  <si>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</si>
  <si>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</si>
  <si>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</si>
  <si>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</si>
  <si>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</si>
  <si>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</si>
  <si>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</si>
  <si>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</si>
  <si>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</si>
  <si>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</si>
  <si>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</si>
  <si>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</si>
  <si>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</si>
  <si>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</si>
  <si>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</si>
  <si>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</si>
  <si>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</si>
  <si>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</si>
  <si>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</si>
  <si>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</si>
  <si>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</si>
  <si>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</si>
  <si>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</si>
  <si>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</si>
  <si>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</si>
  <si>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</si>
  <si>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</si>
  <si>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</si>
  <si>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</si>
  <si>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</si>
  <si>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</si>
  <si>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</si>
  <si>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</si>
  <si>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</si>
  <si>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</si>
  <si>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</si>
  <si>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</si>
  <si>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</si>
  <si>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</si>
  <si>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</si>
  <si>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</si>
  <si>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</si>
  <si>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</si>
  <si>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</si>
  <si>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</si>
  <si>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</si>
  <si>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</si>
  <si>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</si>
  <si>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</si>
  <si>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</si>
  <si>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</si>
  <si>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</si>
  <si>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</si>
  <si>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</si>
  <si>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</si>
  <si>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</si>
  <si>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</si>
  <si>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</si>
  <si>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</si>
  <si>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</si>
  <si>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</si>
  <si>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</si>
  <si>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</si>
  <si>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</si>
  <si>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</si>
  <si>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</si>
  <si>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</si>
  <si>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</si>
  <si>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</si>
  <si>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</si>
  <si>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</si>
  <si>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</si>
  <si>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</si>
  <si>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</si>
  <si>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</si>
  <si>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</si>
  <si>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</si>
  <si>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</si>
  <si>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</si>
  <si>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</si>
  <si>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</si>
  <si>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</si>
  <si>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</si>
  <si>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</si>
  <si>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</si>
  <si>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</si>
  <si>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</si>
  <si>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</si>
  <si>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</si>
  <si>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</si>
  <si>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</si>
  <si>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</si>
  <si>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</si>
  <si>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</si>
  <si>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</si>
  <si>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</si>
  <si>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</si>
  <si>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</si>
  <si>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</si>
  <si>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</si>
  <si>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</si>
  <si>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</si>
  <si>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</si>
  <si>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</si>
  <si>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</si>
  <si>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</si>
  <si>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</si>
  <si>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</si>
  <si>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</si>
  <si>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</si>
  <si>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</si>
  <si>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</si>
  <si>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</si>
  <si>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</si>
  <si>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</si>
  <si>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</si>
  <si>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</si>
  <si>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</si>
  <si>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</si>
  <si>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</si>
  <si>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</si>
  <si>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</si>
  <si>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</si>
  <si>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</si>
  <si>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</si>
  <si>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</si>
  <si>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</si>
  <si>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</si>
  <si>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</si>
  <si>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</si>
  <si>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</si>
  <si>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</si>
  <si>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</si>
  <si>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</si>
  <si>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</si>
  <si>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</si>
  <si>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</si>
  <si>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</si>
  <si>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</si>
  <si>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</si>
  <si>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</si>
  <si>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</si>
  <si>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</si>
  <si>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</si>
  <si>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</si>
  <si>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</si>
  <si>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</si>
  <si>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</si>
  <si>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</si>
  <si>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</si>
  <si>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</si>
  <si>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</si>
  <si>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</si>
  <si>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</si>
  <si>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</si>
  <si>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</si>
  <si>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</si>
  <si>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</si>
  <si>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</si>
  <si>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</si>
  <si>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</si>
  <si>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</si>
  <si>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</si>
  <si>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</si>
  <si>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</si>
  <si>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</si>
  <si>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</si>
  <si>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</si>
  <si>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</si>
  <si>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</si>
  <si>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</si>
  <si>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</si>
  <si>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</si>
  <si>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</si>
  <si>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</si>
  <si>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</si>
  <si>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</si>
  <si>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</si>
  <si>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</si>
  <si>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</si>
  <si>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</si>
  <si>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</si>
  <si>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</si>
  <si>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</si>
  <si>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</si>
  <si>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</si>
  <si>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</si>
  <si>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</si>
  <si>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</si>
  <si>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</si>
  <si>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</si>
  <si>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</si>
  <si>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</si>
  <si>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</si>
  <si>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</si>
  <si>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</si>
  <si>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</si>
  <si>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</si>
  <si>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</si>
  <si>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</si>
  <si>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</si>
  <si>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</si>
  <si>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</si>
  <si>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</si>
  <si>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 xml:space="preserve">Прекращение отопления по заявке </t>
  </si>
  <si>
    <t xml:space="preserve">Прекращение отопления за задолженность </t>
  </si>
  <si>
    <t>Прекращение отопления в связи с аварией</t>
  </si>
  <si>
    <t>3.8</t>
  </si>
  <si>
    <t>3.9</t>
  </si>
  <si>
    <t>3.10</t>
  </si>
  <si>
    <t xml:space="preserve">Прекращение отопления и ГВС по заявке </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</si>
  <si>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</si>
  <si>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</si>
  <si>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</si>
  <si>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</si>
  <si>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</si>
  <si>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</si>
  <si>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</si>
  <si>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</si>
  <si>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</si>
  <si>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</si>
  <si>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</si>
  <si>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</si>
  <si>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</si>
  <si>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</si>
  <si>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</si>
  <si>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</si>
  <si>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</si>
  <si>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</si>
  <si>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</si>
  <si>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</si>
  <si>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</si>
  <si>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</si>
  <si>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</si>
  <si>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</si>
  <si>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</si>
  <si>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</si>
  <si>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</si>
  <si>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</si>
  <si>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</si>
  <si>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</si>
  <si>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</si>
  <si>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</si>
  <si>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 xml:space="preserve">Прекращение ГВС за задолженность </t>
  </si>
  <si>
    <t>3.43</t>
  </si>
  <si>
    <t>3.44</t>
  </si>
  <si>
    <t>3.45</t>
  </si>
  <si>
    <t>3.46</t>
  </si>
  <si>
    <t>3.47</t>
  </si>
  <si>
    <t>3.48</t>
  </si>
  <si>
    <t>3.49</t>
  </si>
  <si>
    <t>3.50</t>
  </si>
  <si>
    <t>3.51</t>
  </si>
  <si>
    <t>3.52</t>
  </si>
  <si>
    <t xml:space="preserve">Прекращение ГВС за задолженность  </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</si>
  <si>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</si>
  <si>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</si>
  <si>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</si>
  <si>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</si>
  <si>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</si>
  <si>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</si>
  <si>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</si>
  <si>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</si>
  <si>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</si>
  <si>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</si>
  <si>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</si>
  <si>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</si>
  <si>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</si>
  <si>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</si>
  <si>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</si>
  <si>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</si>
  <si>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</si>
  <si>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</si>
  <si>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</si>
  <si>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</si>
  <si>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</si>
  <si>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</si>
  <si>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</si>
  <si>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</si>
  <si>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</si>
  <si>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</si>
  <si>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</si>
  <si>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</si>
  <si>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</si>
  <si>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</si>
  <si>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</si>
  <si>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</si>
  <si>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Прекращение отопления по заявке</t>
  </si>
  <si>
    <t>3.85</t>
  </si>
  <si>
    <t>3.86</t>
  </si>
  <si>
    <t>3.87</t>
  </si>
  <si>
    <t>3.88</t>
  </si>
  <si>
    <t>3.89</t>
  </si>
  <si>
    <t>3.90</t>
  </si>
  <si>
    <t>Прекращение отопления и ГВС по заявке</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</si>
  <si>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</si>
  <si>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</si>
  <si>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</si>
  <si>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</si>
  <si>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</si>
  <si>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</si>
  <si>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</si>
  <si>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</si>
  <si>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</si>
  <si>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</si>
  <si>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</si>
  <si>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</si>
  <si>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</si>
  <si>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</si>
  <si>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</si>
  <si>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</si>
  <si>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</si>
  <si>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</si>
  <si>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</si>
  <si>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</si>
  <si>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</si>
  <si>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</si>
  <si>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</si>
  <si>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</si>
  <si>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</si>
  <si>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</si>
  <si>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</si>
  <si>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</si>
  <si>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</si>
  <si>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</si>
  <si>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</si>
  <si>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</si>
  <si>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</si>
  <si>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</si>
  <si>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</si>
  <si>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</si>
  <si>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</si>
  <si>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</si>
  <si>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</si>
  <si>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</si>
  <si>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</si>
  <si>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</si>
  <si>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</si>
  <si>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</si>
  <si>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</si>
  <si>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</si>
  <si>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Прекращение ГВС по заявке</t>
  </si>
  <si>
    <t>3.137</t>
  </si>
  <si>
    <t>3.138</t>
  </si>
  <si>
    <t>3.139</t>
  </si>
  <si>
    <t>3.140</t>
  </si>
  <si>
    <t>3.141</t>
  </si>
  <si>
    <t>3.142</t>
  </si>
  <si>
    <t>Прекращение ГВС в связи с аварией</t>
  </si>
  <si>
    <t>3.143</t>
  </si>
  <si>
    <t>3.144</t>
  </si>
  <si>
    <t>3.145</t>
  </si>
  <si>
    <t>3.146</t>
  </si>
  <si>
    <t>Прекращение ГВС по заявлению</t>
  </si>
  <si>
    <t>3.147</t>
  </si>
  <si>
    <t>3.148</t>
  </si>
  <si>
    <t>3.149</t>
  </si>
  <si>
    <t>3.150</t>
  </si>
  <si>
    <t>3.151</t>
  </si>
  <si>
    <t xml:space="preserve">Самоограничение ГВС на 30% за задолженность </t>
  </si>
  <si>
    <t>3.152</t>
  </si>
  <si>
    <t>3.153</t>
  </si>
  <si>
    <t>3.154</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</si>
  <si>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</si>
  <si>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</si>
  <si>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</si>
  <si>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</si>
  <si>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</si>
  <si>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</si>
  <si>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</si>
  <si>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</si>
  <si>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</si>
  <si>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</si>
  <si>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</si>
  <si>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</si>
  <si>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</si>
  <si>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</si>
  <si>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</si>
  <si>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</si>
  <si>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</si>
  <si>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</si>
  <si>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</si>
  <si>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</si>
  <si>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</si>
  <si>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</si>
  <si>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</si>
  <si>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</si>
  <si>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</si>
  <si>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</si>
  <si>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</si>
  <si>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</si>
  <si>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</si>
  <si>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</si>
  <si>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</si>
  <si>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</si>
  <si>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</si>
  <si>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</si>
  <si>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</si>
  <si>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</si>
  <si>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</si>
  <si>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</si>
  <si>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</si>
  <si>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</si>
  <si>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</si>
  <si>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</si>
  <si>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</si>
  <si>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</si>
  <si>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</si>
  <si>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</si>
  <si>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</si>
  <si>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</si>
  <si>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</si>
  <si>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</si>
  <si>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</si>
  <si>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</si>
  <si>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</si>
  <si>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</si>
  <si>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</si>
  <si>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</si>
  <si>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</si>
  <si>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</si>
  <si>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</si>
  <si>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</si>
  <si>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</si>
  <si>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</si>
  <si>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</si>
  <si>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</si>
  <si>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</si>
  <si>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</si>
  <si>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</si>
  <si>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</si>
  <si>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</si>
  <si>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</si>
  <si>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</si>
  <si>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</si>
  <si>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</si>
  <si>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</si>
  <si>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</si>
  <si>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</si>
  <si>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</si>
  <si>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</si>
  <si>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</si>
  <si>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</si>
  <si>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</si>
  <si>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</si>
  <si>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</si>
  <si>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</si>
  <si>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</si>
  <si>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</si>
  <si>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</si>
  <si>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</si>
  <si>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</si>
  <si>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</si>
  <si>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</si>
  <si>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</si>
  <si>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</si>
  <si>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</si>
  <si>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</si>
  <si>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</si>
  <si>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</si>
  <si>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</si>
  <si>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</si>
  <si>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</si>
  <si>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</si>
  <si>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</si>
  <si>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</si>
  <si>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</si>
  <si>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</si>
  <si>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</si>
  <si>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</si>
  <si>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</si>
  <si>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</si>
  <si>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</si>
  <si>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</si>
  <si>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</si>
  <si>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</si>
  <si>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</si>
  <si>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</si>
  <si>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</si>
  <si>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</si>
  <si>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</si>
  <si>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</si>
  <si>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</si>
  <si>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</si>
  <si>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</si>
  <si>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</si>
  <si>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</si>
  <si>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</si>
  <si>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</si>
  <si>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</si>
  <si>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</si>
  <si>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</si>
  <si>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</si>
  <si>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</si>
  <si>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</si>
  <si>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</si>
  <si>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</si>
  <si>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</si>
  <si>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</si>
  <si>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</si>
  <si>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</si>
  <si>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</si>
  <si>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</si>
  <si>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</si>
  <si>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</si>
  <si>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</si>
  <si>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</si>
  <si>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</si>
  <si>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</si>
  <si>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</si>
  <si>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</si>
  <si>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</si>
  <si>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</si>
  <si>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</si>
  <si>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</si>
  <si>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</si>
  <si>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</si>
  <si>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</si>
  <si>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</si>
  <si>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</si>
  <si>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</si>
  <si>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</si>
  <si>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</si>
  <si>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</si>
  <si>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</si>
  <si>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</si>
  <si>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</si>
  <si>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</si>
  <si>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</si>
  <si>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</si>
  <si>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</si>
  <si>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</si>
  <si>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</si>
  <si>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</si>
  <si>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</si>
  <si>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</si>
  <si>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</si>
  <si>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</si>
  <si>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</si>
  <si>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</si>
  <si>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</si>
  <si>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</si>
  <si>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</si>
  <si>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</si>
  <si>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</si>
  <si>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</si>
  <si>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</si>
  <si>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</si>
  <si>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</si>
  <si>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</si>
  <si>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</si>
  <si>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</si>
  <si>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</si>
  <si>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</si>
  <si>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</si>
  <si>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</si>
  <si>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</si>
  <si>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</si>
  <si>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</si>
  <si>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</si>
  <si>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</si>
  <si>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</si>
  <si>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</si>
  <si>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</si>
  <si>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</si>
  <si>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</si>
  <si>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</si>
  <si>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</si>
  <si>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</si>
  <si>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</si>
  <si>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</si>
  <si>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</si>
  <si>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</si>
  <si>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</si>
  <si>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</si>
  <si>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</si>
  <si>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</si>
  <si>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</si>
  <si>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</si>
  <si>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</si>
  <si>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</si>
  <si>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</si>
  <si>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</si>
  <si>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</si>
  <si>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</si>
  <si>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</si>
  <si>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</si>
  <si>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</si>
  <si>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</si>
  <si>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</si>
  <si>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</si>
  <si>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</si>
  <si>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</si>
  <si>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</si>
  <si>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</si>
  <si>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</si>
  <si>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</si>
  <si>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</si>
  <si>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</si>
  <si>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</si>
  <si>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</si>
  <si>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</si>
  <si>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</si>
  <si>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</si>
  <si>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</si>
  <si>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</si>
  <si>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</si>
  <si>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</si>
  <si>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</si>
  <si>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</si>
  <si>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</si>
  <si>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</si>
  <si>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</si>
  <si>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</si>
  <si>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</si>
  <si>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</si>
  <si>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</si>
  <si>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</si>
  <si>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</si>
  <si>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</si>
  <si>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</si>
  <si>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</si>
  <si>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</si>
  <si>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</si>
  <si>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</si>
  <si>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</si>
  <si>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</si>
  <si>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</si>
  <si>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</si>
  <si>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</si>
  <si>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</si>
  <si>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</si>
  <si>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</si>
  <si>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</si>
  <si>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</si>
  <si>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</si>
  <si>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</si>
  <si>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</si>
  <si>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</si>
  <si>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</si>
  <si>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</si>
  <si>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</si>
  <si>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</si>
  <si>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</si>
  <si>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</si>
  <si>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</si>
  <si>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</si>
  <si>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</si>
  <si>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</si>
  <si>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</si>
  <si>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</si>
  <si>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</si>
  <si>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</si>
  <si>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</si>
  <si>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</si>
  <si>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</si>
  <si>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</si>
  <si>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</si>
  <si>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</si>
  <si>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</si>
  <si>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</si>
  <si>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</si>
  <si>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</si>
  <si>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</si>
  <si>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</si>
  <si>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</si>
  <si>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</si>
  <si>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</si>
  <si>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</si>
  <si>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</si>
  <si>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</si>
  <si>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</si>
  <si>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</si>
  <si>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</si>
  <si>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</si>
  <si>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</si>
  <si>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</si>
  <si>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</si>
  <si>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</si>
  <si>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</si>
  <si>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</si>
  <si>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</si>
  <si>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</si>
  <si>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</si>
  <si>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</si>
  <si>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</si>
  <si>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</si>
  <si>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</si>
  <si>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</si>
  <si>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</si>
  <si>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</si>
  <si>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</si>
  <si>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</si>
  <si>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</si>
  <si>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</si>
  <si>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</si>
  <si>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</si>
  <si>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</si>
  <si>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</si>
  <si>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</si>
  <si>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</si>
  <si>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</si>
  <si>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</si>
  <si>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</si>
  <si>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</si>
  <si>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</si>
  <si>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</si>
  <si>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</si>
  <si>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</si>
  <si>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</si>
  <si>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</si>
  <si>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</si>
  <si>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</si>
  <si>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</si>
  <si>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</si>
  <si>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</si>
  <si>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</si>
  <si>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</si>
  <si>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</si>
  <si>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</si>
  <si>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</si>
  <si>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</si>
  <si>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</si>
  <si>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</si>
  <si>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</si>
  <si>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</si>
  <si>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</si>
  <si>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</si>
  <si>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</si>
  <si>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</si>
  <si>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</si>
  <si>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</si>
  <si>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</si>
  <si>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</si>
  <si>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</si>
  <si>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</si>
  <si>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</si>
  <si>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</si>
  <si>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</si>
  <si>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</si>
  <si>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</si>
  <si>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</si>
  <si>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</si>
  <si>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</si>
  <si>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</si>
  <si>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</si>
  <si>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</si>
  <si>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</si>
  <si>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</si>
  <si>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</si>
  <si>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</si>
  <si>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</si>
  <si>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</si>
  <si>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</si>
  <si>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</si>
  <si>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</si>
  <si>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</si>
  <si>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</si>
  <si>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</si>
  <si>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</si>
  <si>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</si>
  <si>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</si>
  <si>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</si>
  <si>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</si>
  <si>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</si>
  <si>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</si>
  <si>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</si>
  <si>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</si>
  <si>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</si>
  <si>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</si>
  <si>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</si>
  <si>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</si>
  <si>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</si>
  <si>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</si>
  <si>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</si>
  <si>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</si>
  <si>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</si>
  <si>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</si>
  <si>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</si>
  <si>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</si>
  <si>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</si>
  <si>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</si>
  <si>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</si>
  <si>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</si>
  <si>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</si>
  <si>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</si>
  <si>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</si>
  <si>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</si>
  <si>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</si>
  <si>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</si>
  <si>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</si>
  <si>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</si>
  <si>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</si>
  <si>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</si>
  <si>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</si>
  <si>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</si>
  <si>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</si>
  <si>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</si>
  <si>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</si>
  <si>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</si>
  <si>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</si>
  <si>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</si>
  <si>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</si>
  <si>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</si>
  <si>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</si>
  <si>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</si>
  <si>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</si>
  <si>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</si>
  <si>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</si>
  <si>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</si>
  <si>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</si>
  <si>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</si>
  <si>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</si>
  <si>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</si>
  <si>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</si>
  <si>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</si>
  <si>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</si>
  <si>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</si>
  <si>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</si>
  <si>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</si>
  <si>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</si>
  <si>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</si>
  <si>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</si>
  <si>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</si>
  <si>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</si>
  <si>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</si>
  <si>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</si>
  <si>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</si>
  <si>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</si>
  <si>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</si>
  <si>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</si>
  <si>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</si>
  <si>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</si>
  <si>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</si>
  <si>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</si>
  <si>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</si>
  <si>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</si>
  <si>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</si>
  <si>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</si>
  <si>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</si>
  <si>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</si>
  <si>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</si>
  <si>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</si>
  <si>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</si>
  <si>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</si>
  <si>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</si>
  <si>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</si>
  <si>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</si>
  <si>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</si>
  <si>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</si>
  <si>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</si>
  <si>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</si>
  <si>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</si>
  <si>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</si>
  <si>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</si>
  <si>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</si>
  <si>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</si>
  <si>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</si>
  <si>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</si>
  <si>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</si>
  <si>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</si>
  <si>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</si>
  <si>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</si>
  <si>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</si>
  <si>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</si>
  <si>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</si>
  <si>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</si>
  <si>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</si>
  <si>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</si>
  <si>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</si>
  <si>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</si>
  <si>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</si>
  <si>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</si>
  <si>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</si>
  <si>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</si>
  <si>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</si>
  <si>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</si>
  <si>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</si>
  <si>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</si>
  <si>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</si>
  <si>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</si>
  <si>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</si>
  <si>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</si>
  <si>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</si>
  <si>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</si>
  <si>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</si>
  <si>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</si>
  <si>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</si>
  <si>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</si>
  <si>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</si>
  <si>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</si>
  <si>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</si>
  <si>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</si>
  <si>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</si>
  <si>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</si>
  <si>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</si>
  <si>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</si>
  <si>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</si>
  <si>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</si>
  <si>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</si>
  <si>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</si>
  <si>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</si>
  <si>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</si>
  <si>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</si>
  <si>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</si>
  <si>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</si>
  <si>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</si>
  <si>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</si>
  <si>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</si>
  <si>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</si>
  <si>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</si>
  <si>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</si>
  <si>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</si>
  <si>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</si>
  <si>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</si>
  <si>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</si>
  <si>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</si>
  <si>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</si>
  <si>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</si>
  <si>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</si>
  <si>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</si>
  <si>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</si>
  <si>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</si>
  <si>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</si>
  <si>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</si>
  <si>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</si>
  <si>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</si>
  <si>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</si>
  <si>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</si>
  <si>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</si>
  <si>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</si>
  <si>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</si>
  <si>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</si>
  <si>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</si>
  <si>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</si>
  <si>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</si>
  <si>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</si>
  <si>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</si>
  <si>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</si>
  <si>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</si>
  <si>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</si>
  <si>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</si>
  <si>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</si>
  <si>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</si>
  <si>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</si>
  <si>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</si>
  <si>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</si>
  <si>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</si>
  <si>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</si>
  <si>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</si>
  <si>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</si>
  <si>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</si>
  <si>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</si>
  <si>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</si>
  <si>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</si>
  <si>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</si>
  <si>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</si>
  <si>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</si>
  <si>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</si>
  <si>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</si>
  <si>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</si>
  <si>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</si>
  <si>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</si>
  <si>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</si>
  <si>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</si>
  <si>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</si>
  <si>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</si>
  <si>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</si>
  <si>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</si>
  <si>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</si>
  <si>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</si>
  <si>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</si>
  <si>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</si>
  <si>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</si>
  <si>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</si>
  <si>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</si>
  <si>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</si>
  <si>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</si>
  <si>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</si>
  <si>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</si>
  <si>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</si>
  <si>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</si>
  <si>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</si>
  <si>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</si>
  <si>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</si>
  <si>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</si>
  <si>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</si>
  <si>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</si>
  <si>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</si>
  <si>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</si>
  <si>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</si>
  <si>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</si>
  <si>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</si>
  <si>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</si>
  <si>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</si>
  <si>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</si>
  <si>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</si>
  <si>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</si>
  <si>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</si>
  <si>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</si>
  <si>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</si>
  <si>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</si>
  <si>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</si>
  <si>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</si>
  <si>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</si>
  <si>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</si>
  <si>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</si>
  <si>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</si>
  <si>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</si>
  <si>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</si>
  <si>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</si>
  <si>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</si>
  <si>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</si>
  <si>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</si>
  <si>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</si>
  <si>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</si>
  <si>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</si>
  <si>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</si>
  <si>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</si>
  <si>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</si>
  <si>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</si>
  <si>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</si>
  <si>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</si>
  <si>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</si>
  <si>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</si>
  <si>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</si>
  <si>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</si>
  <si>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</si>
  <si>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</si>
  <si>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</si>
  <si>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</si>
  <si>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</si>
  <si>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</si>
  <si>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</si>
  <si>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</si>
  <si>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</si>
  <si>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</si>
  <si>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</si>
  <si>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</si>
  <si>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</si>
  <si>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</si>
  <si>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</si>
  <si>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</si>
  <si>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</si>
  <si>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</si>
  <si>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</si>
  <si>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</si>
  <si>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</si>
  <si>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</si>
  <si>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</si>
  <si>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</si>
  <si>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</si>
  <si>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</si>
  <si>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</si>
  <si>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</si>
  <si>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</si>
  <si>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</si>
  <si>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</si>
  <si>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</si>
  <si>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</si>
  <si>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</si>
  <si>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</si>
  <si>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</si>
  <si>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</si>
  <si>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</si>
  <si>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</si>
  <si>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</si>
  <si>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</si>
  <si>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</si>
  <si>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</si>
  <si>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</si>
  <si>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</si>
  <si>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</si>
  <si>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</si>
  <si>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</si>
  <si>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</si>
  <si>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</si>
  <si>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</si>
  <si>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</si>
  <si>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</si>
  <si>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</si>
  <si>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</si>
  <si>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</si>
  <si>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</si>
  <si>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</si>
  <si>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</si>
  <si>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</si>
  <si>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</si>
  <si>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</si>
  <si>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</si>
  <si>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</si>
  <si>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</si>
  <si>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</si>
  <si>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</si>
  <si>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</si>
  <si>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</si>
  <si>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</si>
  <si>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</si>
  <si>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</si>
  <si>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</si>
  <si>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</si>
  <si>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</si>
  <si>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</si>
  <si>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</si>
  <si>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</si>
  <si>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</si>
  <si>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</si>
  <si>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</si>
  <si>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</si>
  <si>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</si>
  <si>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</si>
  <si>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</si>
  <si>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</si>
  <si>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</si>
  <si>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</si>
  <si>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</si>
  <si>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</si>
  <si>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</si>
  <si>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</si>
  <si>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</si>
  <si>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</si>
  <si>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</si>
  <si>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</si>
  <si>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</si>
  <si>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</si>
  <si>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</si>
  <si>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</si>
  <si>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</si>
  <si>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</si>
  <si>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</si>
  <si>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</si>
  <si>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</si>
  <si>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</si>
  <si>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</si>
  <si>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</si>
  <si>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</si>
  <si>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</si>
  <si>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</si>
  <si>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</si>
  <si>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</si>
  <si>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</si>
  <si>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</si>
  <si>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</si>
  <si>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</si>
  <si>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</si>
  <si>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</si>
  <si>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</si>
  <si>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</si>
  <si>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</si>
  <si>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</si>
  <si>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</si>
  <si>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</si>
  <si>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</si>
  <si>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</si>
  <si>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</si>
  <si>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</si>
  <si>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</si>
  <si>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</si>
  <si>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</si>
  <si>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</si>
  <si>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</si>
  <si>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</si>
  <si>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</si>
  <si>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</si>
  <si>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</si>
  <si>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</si>
  <si>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</si>
  <si>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</si>
  <si>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</si>
  <si>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</si>
  <si>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</si>
  <si>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</si>
  <si>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</si>
  <si>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</si>
  <si>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</si>
  <si>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</si>
  <si>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</si>
  <si>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</si>
  <si>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</si>
  <si>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</si>
  <si>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</si>
  <si>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</si>
  <si>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</si>
  <si>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</si>
  <si>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</si>
  <si>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</si>
  <si>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</si>
  <si>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</si>
  <si>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</si>
  <si>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</si>
  <si>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</si>
  <si>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</si>
  <si>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</si>
  <si>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</si>
  <si>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</si>
  <si>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</si>
  <si>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</si>
  <si>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</si>
  <si>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</si>
  <si>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</si>
  <si>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</si>
  <si>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</si>
  <si>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</si>
  <si>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</si>
  <si>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</si>
  <si>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</si>
  <si>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</si>
  <si>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</si>
  <si>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</si>
  <si>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</si>
  <si>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</si>
  <si>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</si>
  <si>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</si>
  <si>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</si>
  <si>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</si>
  <si>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</si>
  <si>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</si>
  <si>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</si>
  <si>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</si>
  <si>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</si>
  <si>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</si>
  <si>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</si>
  <si>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</si>
  <si>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</si>
  <si>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</si>
  <si>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</si>
  <si>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</si>
  <si>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</si>
  <si>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</si>
  <si>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</si>
  <si>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</si>
  <si>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</si>
  <si>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</si>
  <si>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</si>
  <si>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</si>
  <si>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</si>
  <si>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</si>
  <si>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</si>
  <si>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</si>
  <si>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</si>
  <si>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</si>
  <si>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</si>
  <si>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</si>
  <si>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</si>
  <si>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</si>
  <si>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</si>
  <si>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</si>
  <si>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</si>
  <si>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</si>
  <si>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</si>
  <si>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</si>
  <si>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</si>
  <si>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</si>
  <si>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</si>
  <si>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</si>
  <si>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</si>
  <si>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</si>
  <si>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</si>
  <si>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</si>
  <si>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</si>
  <si>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</si>
  <si>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</si>
  <si>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</si>
  <si>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</si>
  <si>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</si>
  <si>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</si>
  <si>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</si>
  <si>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</si>
  <si>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</si>
  <si>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</si>
  <si>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</si>
  <si>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</si>
  <si>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</si>
  <si>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</si>
  <si>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</si>
  <si>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</si>
  <si>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</si>
  <si>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</si>
  <si>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</si>
  <si>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</si>
  <si>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</si>
  <si>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</si>
  <si>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</si>
  <si>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</si>
  <si>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</si>
  <si>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</si>
  <si>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</si>
  <si>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</si>
  <si>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</si>
  <si>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</si>
  <si>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</si>
  <si>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</si>
  <si>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</si>
  <si>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</si>
  <si>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</si>
  <si>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</si>
  <si>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</si>
  <si>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</si>
  <si>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</si>
  <si>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</si>
  <si>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</si>
  <si>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</si>
  <si>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</si>
  <si>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</si>
  <si>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</si>
  <si>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В листе "Ограничения" строка 3.1.3. обязательна для заполнения, поэтому указана дата завершения ограничения - 30.06.2024 (последний день квартала). Фактически ограничение подачи тепловой энергии и ГВС не завершено.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</si>
  <si>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</si>
  <si>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</si>
  <si>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</si>
  <si>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</si>
  <si>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</si>
  <si>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</si>
  <si>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</si>
  <si>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</si>
  <si>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</si>
  <si>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</si>
  <si>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</si>
  <si>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</si>
  <si>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</si>
  <si>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</si>
  <si>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</si>
  <si>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</si>
  <si>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</si>
  <si>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</si>
  <si>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</si>
  <si>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</si>
  <si>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</si>
  <si>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</si>
  <si>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</si>
  <si>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</si>
  <si>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</si>
  <si>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</si>
  <si>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</si>
  <si>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</si>
  <si>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</si>
  <si>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</si>
  <si>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</si>
  <si>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</si>
  <si>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</si>
  <si>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</si>
  <si>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</si>
  <si>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</si>
  <si>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</si>
  <si>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</si>
  <si>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</si>
  <si>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</si>
  <si>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</si>
  <si>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</si>
  <si>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</si>
  <si>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</si>
  <si>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</si>
  <si>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</si>
  <si>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</si>
  <si>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</si>
  <si>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</si>
  <si>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</si>
  <si>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</si>
  <si>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</si>
  <si>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</si>
  <si>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</si>
  <si>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</si>
  <si>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</si>
  <si>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</si>
  <si>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</si>
  <si>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</si>
  <si>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</si>
  <si>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</si>
  <si>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</si>
  <si>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</si>
  <si>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</si>
  <si>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</si>
  <si>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</si>
  <si>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</si>
  <si>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</si>
  <si>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</si>
  <si>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</si>
  <si>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</si>
  <si>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</si>
  <si>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</si>
  <si>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</si>
  <si>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</si>
  <si>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</si>
  <si>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</si>
  <si>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</si>
  <si>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</si>
  <si>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</si>
  <si>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</si>
  <si>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</si>
  <si>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</si>
  <si>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</si>
  <si>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</si>
  <si>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</si>
  <si>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</si>
  <si>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</si>
  <si>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</si>
  <si>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</si>
  <si>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</si>
  <si>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</si>
  <si>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</si>
  <si>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</si>
  <si>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</si>
  <si>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</si>
  <si>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</si>
  <si>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</si>
  <si>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</si>
  <si>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</si>
  <si>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</si>
  <si>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</si>
  <si>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</si>
  <si>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</si>
  <si>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</si>
  <si>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</si>
  <si>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</si>
  <si>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</si>
  <si>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</si>
  <si>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</si>
  <si>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</si>
  <si>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</si>
  <si>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</si>
  <si>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</si>
  <si>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</si>
  <si>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</si>
  <si>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</si>
  <si>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</si>
  <si>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</si>
  <si>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</si>
  <si>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</si>
  <si>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</si>
  <si>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</si>
  <si>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</si>
  <si>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</si>
  <si>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</si>
  <si>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</si>
  <si>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</si>
  <si>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</si>
  <si>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</si>
  <si>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</si>
  <si>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</si>
  <si>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</si>
  <si>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</si>
  <si>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</si>
  <si>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</si>
  <si>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</si>
  <si>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</si>
  <si>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</si>
  <si>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</si>
  <si>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</si>
  <si>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</si>
  <si>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</si>
  <si>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</si>
  <si>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</si>
  <si>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</si>
  <si>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</si>
  <si>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</si>
  <si>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</si>
  <si>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</si>
  <si>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</si>
  <si>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</si>
  <si>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</si>
  <si>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</si>
  <si>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</si>
  <si>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</si>
  <si>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</si>
  <si>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</si>
  <si>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</si>
  <si>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</si>
  <si>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</si>
  <si>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</si>
  <si>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</si>
  <si>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</si>
  <si>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</si>
  <si>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</si>
  <si>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</si>
  <si>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</si>
  <si>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</si>
  <si>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</si>
  <si>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</si>
  <si>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</si>
  <si>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</si>
  <si>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</si>
  <si>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</si>
  <si>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</si>
  <si>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</si>
  <si>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</si>
  <si>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</si>
  <si>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</si>
  <si>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</si>
  <si>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</si>
  <si>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</si>
  <si>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</si>
  <si>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</si>
  <si>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</si>
  <si>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</si>
  <si>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</si>
  <si>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</si>
  <si>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</si>
  <si>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</si>
  <si>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</si>
  <si>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</si>
  <si>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</si>
  <si>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</si>
  <si>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</si>
  <si>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</si>
  <si>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</si>
  <si>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</si>
  <si>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</si>
  <si>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</si>
  <si>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</si>
  <si>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</si>
  <si>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</si>
  <si>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</si>
  <si>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</si>
  <si>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</si>
  <si>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</si>
  <si>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</si>
  <si>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</si>
  <si>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</si>
  <si>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</si>
  <si>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</si>
  <si>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</si>
  <si>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</si>
  <si>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</si>
  <si>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</si>
  <si>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</si>
  <si>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</si>
  <si>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</si>
  <si>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</si>
  <si>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</si>
  <si>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</si>
  <si>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</si>
  <si>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</si>
  <si>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</si>
  <si>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</si>
  <si>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</si>
  <si>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</si>
  <si>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</si>
  <si>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</si>
  <si>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</si>
  <si>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</si>
  <si>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</si>
  <si>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</si>
  <si>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</si>
  <si>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</si>
  <si>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</si>
  <si>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</si>
  <si>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</si>
  <si>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</si>
  <si>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</si>
  <si>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</si>
  <si>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</si>
  <si>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</si>
  <si>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</si>
  <si>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</si>
  <si>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</si>
  <si>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</si>
  <si>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</si>
  <si>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</si>
  <si>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</si>
  <si>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</si>
  <si>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</si>
  <si>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</si>
  <si>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</si>
  <si>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</si>
  <si>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</si>
  <si>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</si>
  <si>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</si>
  <si>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</si>
  <si>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</si>
  <si>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</si>
  <si>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</si>
  <si>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</si>
  <si>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</si>
  <si>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</si>
  <si>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</si>
  <si>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</si>
  <si>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</si>
  <si>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</si>
  <si>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</si>
  <si>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</si>
  <si>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</si>
  <si>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</si>
  <si>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</si>
  <si>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</si>
  <si>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</si>
  <si>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</si>
  <si>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</si>
  <si>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</si>
  <si>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</si>
  <si>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</si>
  <si>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</si>
  <si>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</si>
  <si>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</si>
  <si>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</si>
  <si>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</si>
  <si>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</si>
  <si>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</si>
  <si>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</si>
  <si>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</si>
  <si>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</si>
  <si>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</si>
  <si>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</si>
  <si>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</si>
  <si>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</si>
  <si>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</si>
  <si>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</si>
  <si>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</si>
  <si>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</si>
  <si>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</si>
  <si>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</si>
  <si>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</si>
  <si>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</si>
  <si>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</si>
  <si>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</si>
  <si>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</si>
  <si>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</si>
  <si>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</si>
  <si>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</si>
  <si>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</si>
  <si>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</si>
  <si>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</si>
  <si>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</si>
  <si>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</si>
  <si>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</si>
  <si>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</si>
  <si>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</si>
  <si>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</si>
  <si>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</si>
  <si>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</si>
  <si>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</si>
  <si>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</si>
  <si>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</si>
  <si>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</si>
  <si>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</si>
  <si>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</si>
  <si>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</si>
  <si>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</si>
  <si>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</si>
  <si>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</si>
  <si>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</si>
  <si>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</si>
  <si>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</si>
  <si>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</si>
  <si>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</si>
  <si>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</si>
  <si>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</si>
  <si>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</si>
  <si>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</si>
  <si>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</si>
  <si>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</si>
  <si>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</si>
  <si>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</si>
  <si>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</si>
  <si>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2666</t>
  </si>
  <si>
    <t>27576762</t>
  </si>
  <si>
    <t>20 учебный центр ПУ ФСБ России по Амурской области</t>
  </si>
  <si>
    <t>2801106436</t>
  </si>
  <si>
    <t>282703001</t>
  </si>
  <si>
    <t>26355363</t>
  </si>
  <si>
    <t>АО "Амурплодсемпром"</t>
  </si>
  <si>
    <t>2812000840</t>
  </si>
  <si>
    <t>280101001</t>
  </si>
  <si>
    <t>27712709</t>
  </si>
  <si>
    <t>АО "Амурский уголь"</t>
  </si>
  <si>
    <t>2801170255</t>
  </si>
  <si>
    <t>280601001</t>
  </si>
  <si>
    <t>27051081</t>
  </si>
  <si>
    <t>997450001</t>
  </si>
  <si>
    <t>19-12-2005 00:00:00</t>
  </si>
  <si>
    <t>27511456</t>
  </si>
  <si>
    <t>АО "ДГК" "Амурская генерация" СП "Благовещенская ТЭЦ"</t>
  </si>
  <si>
    <t>280102002</t>
  </si>
  <si>
    <t>26813407</t>
  </si>
  <si>
    <t>АО "ДГК" СП Райчихинская ГРЭС</t>
  </si>
  <si>
    <t>280632001</t>
  </si>
  <si>
    <t>26354251</t>
  </si>
  <si>
    <t>АО "ДГК" филиал "Амурская генерация"</t>
  </si>
  <si>
    <t>280102001</t>
  </si>
  <si>
    <t>26515061</t>
  </si>
  <si>
    <t>АО "ДРСК" филиал "Амурские электрические сети"</t>
  </si>
  <si>
    <t>2801108200</t>
  </si>
  <si>
    <t>280102003</t>
  </si>
  <si>
    <t>26612059</t>
  </si>
  <si>
    <t>АО "Коммунальные системы БАМа"</t>
  </si>
  <si>
    <t>2808023556</t>
  </si>
  <si>
    <t>280801001</t>
  </si>
  <si>
    <t>28975998</t>
  </si>
  <si>
    <t>АО "Луч"</t>
  </si>
  <si>
    <t>2816009756</t>
  </si>
  <si>
    <t>281601001</t>
  </si>
  <si>
    <t>26320300</t>
  </si>
  <si>
    <t>АО "Прииск Соловьевский"</t>
  </si>
  <si>
    <t>2828002272</t>
  </si>
  <si>
    <t>282801001</t>
  </si>
  <si>
    <t>26355319</t>
  </si>
  <si>
    <t>АО "Судостроительный завод имени Октябрьской революции"</t>
  </si>
  <si>
    <t>2801018211</t>
  </si>
  <si>
    <t>26642065</t>
  </si>
  <si>
    <t>Акционерное общество "Транснефть - Энерготерминал"</t>
  </si>
  <si>
    <t>7703639266</t>
  </si>
  <si>
    <t>282645002</t>
  </si>
  <si>
    <t>28463470</t>
  </si>
  <si>
    <t>Березовское МУП "Универсал"</t>
  </si>
  <si>
    <t>2816009668</t>
  </si>
  <si>
    <t>27712869</t>
  </si>
  <si>
    <t>Вагонное ремонтное депо Белогорск- обособленное структурное подразделение АО "ОМК Стальной путь"</t>
  </si>
  <si>
    <t>7708737500</t>
  </si>
  <si>
    <t>280445001</t>
  </si>
  <si>
    <t>14-04-2011 00:00:00</t>
  </si>
  <si>
    <t>30347598</t>
  </si>
  <si>
    <t>ГАОУ АО "СУВУ Юхтинская спецшкола"</t>
  </si>
  <si>
    <t>2823001028</t>
  </si>
  <si>
    <t>282301001</t>
  </si>
  <si>
    <t>28040235</t>
  </si>
  <si>
    <t>ГАУ АО "Амурская авиабаза"</t>
  </si>
  <si>
    <t>2801118992</t>
  </si>
  <si>
    <t>29648956</t>
  </si>
  <si>
    <t>ГБУ АО "Амурская облветлаборатория"</t>
  </si>
  <si>
    <t>2801095590</t>
  </si>
  <si>
    <t>26360970</t>
  </si>
  <si>
    <t>Дистанция тепловых сетей Дальневосточной Дирекции по тепловодоснабжению структурного подразделения Центральной Дирекции по тепловодоснабжению - филиала ОАО "Российские железные дороги"</t>
  </si>
  <si>
    <t>7708503727</t>
  </si>
  <si>
    <t>26355389</t>
  </si>
  <si>
    <t>ЗАО СПМК "Ивановская"</t>
  </si>
  <si>
    <t>2816007124</t>
  </si>
  <si>
    <t>26360971</t>
  </si>
  <si>
    <t>Забайкальская дирекция по тепловодоснабжению - структурное подразделение Центральной дирекции по тепловодоснабжению филиала ОАО "РЖД"</t>
  </si>
  <si>
    <t>753645034</t>
  </si>
  <si>
    <t>30345365</t>
  </si>
  <si>
    <t>ИП Канунников Ю.Л.</t>
  </si>
  <si>
    <t>282100034780</t>
  </si>
  <si>
    <t>28858833</t>
  </si>
  <si>
    <t>ИП Павляк</t>
  </si>
  <si>
    <t>281402340206</t>
  </si>
  <si>
    <t>31444214</t>
  </si>
  <si>
    <t>ИП Сазанов Алексей Николаевич</t>
  </si>
  <si>
    <t>280103092433</t>
  </si>
  <si>
    <t>30412541</t>
  </si>
  <si>
    <t>МБУ "Приоритет"</t>
  </si>
  <si>
    <t>2816009523</t>
  </si>
  <si>
    <t>31713302</t>
  </si>
  <si>
    <t>МКП "Гарнизон" с. Возжаевки</t>
  </si>
  <si>
    <t>2800000211</t>
  </si>
  <si>
    <t>280001001</t>
  </si>
  <si>
    <t>31214998</t>
  </si>
  <si>
    <t>МКП "Мастер"</t>
  </si>
  <si>
    <t>2813009483</t>
  </si>
  <si>
    <t>281301001</t>
  </si>
  <si>
    <t>15-03-2013 00:00:00</t>
  </si>
  <si>
    <t>31350104</t>
  </si>
  <si>
    <t>МКП "Теплоком" с. Возжаевка</t>
  </si>
  <si>
    <t>2804019446</t>
  </si>
  <si>
    <t>280401001</t>
  </si>
  <si>
    <t>31535501</t>
  </si>
  <si>
    <t>МКП "Шимановское ЖКХ"</t>
  </si>
  <si>
    <t>2829001218</t>
  </si>
  <si>
    <t>282901001</t>
  </si>
  <si>
    <t>31639620</t>
  </si>
  <si>
    <t>МКП Свободненского Района "РКР"</t>
  </si>
  <si>
    <t>2823001130</t>
  </si>
  <si>
    <t>26355449</t>
  </si>
  <si>
    <t>МУЖЭП ЗАТО Циолковский</t>
  </si>
  <si>
    <t>2823005248</t>
  </si>
  <si>
    <t>29648943</t>
  </si>
  <si>
    <t>МУП "Городские энергетические сети"</t>
  </si>
  <si>
    <t>2804017311</t>
  </si>
  <si>
    <t>26319056</t>
  </si>
  <si>
    <t>МУП "Горэлектротеплосеть" г.Тында</t>
  </si>
  <si>
    <t>2808002098</t>
  </si>
  <si>
    <t>30345357</t>
  </si>
  <si>
    <t>МУП "Гродблагсервис"</t>
  </si>
  <si>
    <t>2812170899</t>
  </si>
  <si>
    <t>281201001</t>
  </si>
  <si>
    <t>28005129</t>
  </si>
  <si>
    <t>МУП "Жилкомэнерго"</t>
  </si>
  <si>
    <t>2812002044</t>
  </si>
  <si>
    <t>27568217</t>
  </si>
  <si>
    <t>МУП "Радуга"</t>
  </si>
  <si>
    <t>2817041093</t>
  </si>
  <si>
    <t>281701001</t>
  </si>
  <si>
    <t>30347602</t>
  </si>
  <si>
    <t>МУП "Ресурспоставка"</t>
  </si>
  <si>
    <t>2823000610</t>
  </si>
  <si>
    <t>07-08-2015 00:00:00</t>
  </si>
  <si>
    <t>27866888</t>
  </si>
  <si>
    <t>МУП "Тамбовские коммунальные системы"</t>
  </si>
  <si>
    <t>2827009109</t>
  </si>
  <si>
    <t>282701001</t>
  </si>
  <si>
    <t>31298379</t>
  </si>
  <si>
    <t>МУП "Флагман"</t>
  </si>
  <si>
    <t>2813010538</t>
  </si>
  <si>
    <t>26320329</t>
  </si>
  <si>
    <t>МУП "Энерго"</t>
  </si>
  <si>
    <t>2818004457</t>
  </si>
  <si>
    <t>281801001</t>
  </si>
  <si>
    <t>08-06-2009 00:00:00</t>
  </si>
  <si>
    <t>07-06-2024 00:00:00</t>
  </si>
  <si>
    <t>28002573</t>
  </si>
  <si>
    <t>МУП "Энергоресурс" рабочего поселка (п.г.т.) Уруша</t>
  </si>
  <si>
    <t>2826006553</t>
  </si>
  <si>
    <t>282601001</t>
  </si>
  <si>
    <t>26835927</t>
  </si>
  <si>
    <t>МУП «Коммунальные сети»</t>
  </si>
  <si>
    <t>2826005359</t>
  </si>
  <si>
    <t>27568370</t>
  </si>
  <si>
    <t>Мазановское УМП "Транспортное"</t>
  </si>
  <si>
    <t>2819014507</t>
  </si>
  <si>
    <t>281901001</t>
  </si>
  <si>
    <t>26502547</t>
  </si>
  <si>
    <t>ОАО "ДЭП №197"</t>
  </si>
  <si>
    <t>2816008657</t>
  </si>
  <si>
    <t>26355426</t>
  </si>
  <si>
    <t>ОАО "Мазановскагропромстрой"</t>
  </si>
  <si>
    <t>2819002710</t>
  </si>
  <si>
    <t>28816445</t>
  </si>
  <si>
    <t>ОАО "Ростелеком"</t>
  </si>
  <si>
    <t>7707049388</t>
  </si>
  <si>
    <t>280143001</t>
  </si>
  <si>
    <t>31435957</t>
  </si>
  <si>
    <t>ООО "АВС - Ресурс"</t>
  </si>
  <si>
    <t>2813010866</t>
  </si>
  <si>
    <t>31348787</t>
  </si>
  <si>
    <t>ООО "АКК"</t>
  </si>
  <si>
    <t>2813010697</t>
  </si>
  <si>
    <t>27712899</t>
  </si>
  <si>
    <t>ООО "Аварийная Диспетчерская Служба"</t>
  </si>
  <si>
    <t>2801142586</t>
  </si>
  <si>
    <t>29647555</t>
  </si>
  <si>
    <t>ООО "Альтернатива"</t>
  </si>
  <si>
    <t>2808022055</t>
  </si>
  <si>
    <t>31521280</t>
  </si>
  <si>
    <t>ООО "Альянс ТЭК"</t>
  </si>
  <si>
    <t>2801264200</t>
  </si>
  <si>
    <t>31347286</t>
  </si>
  <si>
    <t>ООО "Амур Темп"</t>
  </si>
  <si>
    <t>2801245743</t>
  </si>
  <si>
    <t>30857770</t>
  </si>
  <si>
    <t>ООО "Амур Энерго Строй"</t>
  </si>
  <si>
    <t>2804016741</t>
  </si>
  <si>
    <t>31512622</t>
  </si>
  <si>
    <t>ООО "Амуроблресурс"</t>
  </si>
  <si>
    <t>2801177910</t>
  </si>
  <si>
    <t>30874209</t>
  </si>
  <si>
    <t>ООО "Амурская Топливная Компания"</t>
  </si>
  <si>
    <t>2806005093</t>
  </si>
  <si>
    <t>31207706</t>
  </si>
  <si>
    <t>ООО "Амурская теплоснабжающая компания"</t>
  </si>
  <si>
    <t>2807006396</t>
  </si>
  <si>
    <t>280701001</t>
  </si>
  <si>
    <t>31401430</t>
  </si>
  <si>
    <t>ООО "Амурские коммунальные системы"</t>
  </si>
  <si>
    <t>2801254956</t>
  </si>
  <si>
    <t>26355322</t>
  </si>
  <si>
    <t>ООО "Амурский бройлер"</t>
  </si>
  <si>
    <t>2801065123</t>
  </si>
  <si>
    <t>31215879</t>
  </si>
  <si>
    <t>ООО "Амурстрой Энергия"</t>
  </si>
  <si>
    <t>2801241918</t>
  </si>
  <si>
    <t>27568417</t>
  </si>
  <si>
    <t>ООО "Амуртеплосервис"</t>
  </si>
  <si>
    <t>2801142120</t>
  </si>
  <si>
    <t>31412134</t>
  </si>
  <si>
    <t>ООО "Аполлон"</t>
  </si>
  <si>
    <t>2801175743</t>
  </si>
  <si>
    <t>31603681</t>
  </si>
  <si>
    <t>ООО "АрхТЭК"</t>
  </si>
  <si>
    <t>2810005603</t>
  </si>
  <si>
    <t>281001001</t>
  </si>
  <si>
    <t>30958349</t>
  </si>
  <si>
    <t>ООО "Архаринская теплоснабжающая компания"</t>
  </si>
  <si>
    <t>2810005508</t>
  </si>
  <si>
    <t>31295709</t>
  </si>
  <si>
    <t>ООО "Белогорская компания теплоснабжения"</t>
  </si>
  <si>
    <t>2801242848</t>
  </si>
  <si>
    <t>25-07-2018 00:00:00</t>
  </si>
  <si>
    <t>30394063</t>
  </si>
  <si>
    <t>ООО "Белогорская теплоснабжающая компания"</t>
  </si>
  <si>
    <t>2811056696</t>
  </si>
  <si>
    <t>26771377</t>
  </si>
  <si>
    <t>ООО "Благовещенский завод строительных материалов"</t>
  </si>
  <si>
    <t>2801151781</t>
  </si>
  <si>
    <t>26371561</t>
  </si>
  <si>
    <t>ООО "Бытовик"</t>
  </si>
  <si>
    <t>2817004214</t>
  </si>
  <si>
    <t>31529326</t>
  </si>
  <si>
    <t>ООО "ВЕКТОР"</t>
  </si>
  <si>
    <t>2827010383</t>
  </si>
  <si>
    <t>26531257</t>
  </si>
  <si>
    <t>ООО "Варваровский Коммунальщик -1"</t>
  </si>
  <si>
    <t>2821007433</t>
  </si>
  <si>
    <t>282101001</t>
  </si>
  <si>
    <t>09-07-2009 00:00:00</t>
  </si>
  <si>
    <t>28423372</t>
  </si>
  <si>
    <t>ООО "Варваровский Коммунальщик-2"</t>
  </si>
  <si>
    <t>2821007497</t>
  </si>
  <si>
    <t>31713309</t>
  </si>
  <si>
    <t>ООО "Варваровский Теплосбыт"</t>
  </si>
  <si>
    <t>2827010760</t>
  </si>
  <si>
    <t>30912162</t>
  </si>
  <si>
    <t>ООО "Василек"</t>
  </si>
  <si>
    <t>2801182317</t>
  </si>
  <si>
    <t>27499297</t>
  </si>
  <si>
    <t>ООО "Вента"</t>
  </si>
  <si>
    <t>2816008777</t>
  </si>
  <si>
    <t>31308727</t>
  </si>
  <si>
    <t>ООО "Вита"</t>
  </si>
  <si>
    <t>2816009957</t>
  </si>
  <si>
    <t>10-07-2017 00:00:00</t>
  </si>
  <si>
    <t>30856672</t>
  </si>
  <si>
    <t>ООО "Восток" (Завитинск)</t>
  </si>
  <si>
    <t>2813006820</t>
  </si>
  <si>
    <t>28449947</t>
  </si>
  <si>
    <t>ООО "ВостокСервисКомплект"</t>
  </si>
  <si>
    <t>2801184480</t>
  </si>
  <si>
    <t>27568547</t>
  </si>
  <si>
    <t>ООО "ВостокСтройКомплект"</t>
  </si>
  <si>
    <t>2801164928</t>
  </si>
  <si>
    <t>31456872</t>
  </si>
  <si>
    <t>ООО "Горизонт" (г. Благовещенск)</t>
  </si>
  <si>
    <t>2801255251</t>
  </si>
  <si>
    <t>31033529</t>
  </si>
  <si>
    <t>ООО "Городские энергетические сети"</t>
  </si>
  <si>
    <t>2804015593</t>
  </si>
  <si>
    <t>16-08-2012 00:00:00</t>
  </si>
  <si>
    <t>30430310</t>
  </si>
  <si>
    <t>ООО "Градъ"</t>
  </si>
  <si>
    <t>2801112006</t>
  </si>
  <si>
    <t>28150567</t>
  </si>
  <si>
    <t>ООО "Гудачи"</t>
  </si>
  <si>
    <t>2818006158</t>
  </si>
  <si>
    <t>30953268</t>
  </si>
  <si>
    <t>ООО "ДИВА"</t>
  </si>
  <si>
    <t>2829001151</t>
  </si>
  <si>
    <t>30866882</t>
  </si>
  <si>
    <t>ООО "ДЭП №190"</t>
  </si>
  <si>
    <t>2807005515</t>
  </si>
  <si>
    <t>280901001</t>
  </si>
  <si>
    <t>28135080</t>
  </si>
  <si>
    <t>ООО "Дальжилстрой"</t>
  </si>
  <si>
    <t>2801112768</t>
  </si>
  <si>
    <t>02-06-2006 00:00:00</t>
  </si>
  <si>
    <t>28828864</t>
  </si>
  <si>
    <t>ООО "Дальневосточная компания"</t>
  </si>
  <si>
    <t>2810005427</t>
  </si>
  <si>
    <t>27712892</t>
  </si>
  <si>
    <t>ООО "Дальтеплоком"</t>
  </si>
  <si>
    <t>2801134426</t>
  </si>
  <si>
    <t>26616830</t>
  </si>
  <si>
    <t>ООО "Дорожно-Строительная Компания "Приамурье"</t>
  </si>
  <si>
    <t>2818005250</t>
  </si>
  <si>
    <t>30835066</t>
  </si>
  <si>
    <t>ООО "ЖДК-Энергоресурс"</t>
  </si>
  <si>
    <t>7717117968</t>
  </si>
  <si>
    <t>16-12-2002 00:00:00</t>
  </si>
  <si>
    <t>31275725</t>
  </si>
  <si>
    <t>ООО "ЖКХ Амур Сервис"</t>
  </si>
  <si>
    <t>2801229220</t>
  </si>
  <si>
    <t>21-03-2017 00:00:00</t>
  </si>
  <si>
    <t>26808790</t>
  </si>
  <si>
    <t>ООО "Жилкомсервис"</t>
  </si>
  <si>
    <t>2816008689</t>
  </si>
  <si>
    <t>28451552</t>
  </si>
  <si>
    <t>ООО "Заря"</t>
  </si>
  <si>
    <t>2824005321</t>
  </si>
  <si>
    <t>282401001</t>
  </si>
  <si>
    <t>31444662</t>
  </si>
  <si>
    <t>ООО "Знак"</t>
  </si>
  <si>
    <t>2806008545</t>
  </si>
  <si>
    <t>31277059</t>
  </si>
  <si>
    <t>ООО "Интерлес"</t>
  </si>
  <si>
    <t>2813006940</t>
  </si>
  <si>
    <t>10-12-2007 00:00:00</t>
  </si>
  <si>
    <t>31618187</t>
  </si>
  <si>
    <t>ООО "Исток"</t>
  </si>
  <si>
    <t>2805004474</t>
  </si>
  <si>
    <t>280501001</t>
  </si>
  <si>
    <t>31254034</t>
  </si>
  <si>
    <t>ООО "КапиталЪ"</t>
  </si>
  <si>
    <t>2806007044</t>
  </si>
  <si>
    <t>23-09-2009 00:00:00</t>
  </si>
  <si>
    <t>28505886</t>
  </si>
  <si>
    <t>ООО "Капиталъ"</t>
  </si>
  <si>
    <t>2828012697</t>
  </si>
  <si>
    <t>31541611</t>
  </si>
  <si>
    <t>ООО "Квант ДВ"</t>
  </si>
  <si>
    <t>2801165128</t>
  </si>
  <si>
    <t>26355394</t>
  </si>
  <si>
    <t>ООО "Коммунальник-1"</t>
  </si>
  <si>
    <t>2816008463</t>
  </si>
  <si>
    <t>30947680</t>
  </si>
  <si>
    <t>ООО "Коммунальные сети Свободненского района"</t>
  </si>
  <si>
    <t>2807005265</t>
  </si>
  <si>
    <t>31661989</t>
  </si>
  <si>
    <t>ООО "Коммунальные системы"</t>
  </si>
  <si>
    <t>2801248215</t>
  </si>
  <si>
    <t>31356539</t>
  </si>
  <si>
    <t>ООО "КомфорТ"</t>
  </si>
  <si>
    <t>2815016817</t>
  </si>
  <si>
    <t>281501001</t>
  </si>
  <si>
    <t>30345115</t>
  </si>
  <si>
    <t>ООО "Комфорт Плюс"</t>
  </si>
  <si>
    <t>2825000206</t>
  </si>
  <si>
    <t>282501001</t>
  </si>
  <si>
    <t>31244968</t>
  </si>
  <si>
    <t>ООО "Комфорт РСО"</t>
  </si>
  <si>
    <t>2825000260</t>
  </si>
  <si>
    <t>30435078</t>
  </si>
  <si>
    <t>ООО "Комфорт"</t>
  </si>
  <si>
    <t>2816009844</t>
  </si>
  <si>
    <t>28040104</t>
  </si>
  <si>
    <t>2825071542</t>
  </si>
  <si>
    <t>31661971</t>
  </si>
  <si>
    <t>ООО "Константиновская Аварийная Служба"</t>
  </si>
  <si>
    <t>2801260413</t>
  </si>
  <si>
    <t>31443752</t>
  </si>
  <si>
    <t>ООО "МГЛ ГРУПП"</t>
  </si>
  <si>
    <t>2801230835</t>
  </si>
  <si>
    <t>31021208</t>
  </si>
  <si>
    <t>ООО "Магдагачинская теплоснабжающая компания"</t>
  </si>
  <si>
    <t>2818006623</t>
  </si>
  <si>
    <t>31290857</t>
  </si>
  <si>
    <t>ООО "МаркТепло"</t>
  </si>
  <si>
    <t>2801239203</t>
  </si>
  <si>
    <t>28-02-2018 00:00:00</t>
  </si>
  <si>
    <t>26355328</t>
  </si>
  <si>
    <t>ООО "Марковское"</t>
  </si>
  <si>
    <t>2801109821</t>
  </si>
  <si>
    <t>31456954</t>
  </si>
  <si>
    <t>ООО "Машиностроитель"</t>
  </si>
  <si>
    <t>2801224704</t>
  </si>
  <si>
    <t>31022294</t>
  </si>
  <si>
    <t>ООО "Медальянс"</t>
  </si>
  <si>
    <t>2806008979</t>
  </si>
  <si>
    <t>30917931</t>
  </si>
  <si>
    <t>ООО "Михайловское дорожное управление"</t>
  </si>
  <si>
    <t>2820010867</t>
  </si>
  <si>
    <t>282001001</t>
  </si>
  <si>
    <t>26355330</t>
  </si>
  <si>
    <t>ООО "Михайловское"</t>
  </si>
  <si>
    <t>2801109846</t>
  </si>
  <si>
    <t>31475006</t>
  </si>
  <si>
    <t>ООО "Мой дом"</t>
  </si>
  <si>
    <t>2827009405</t>
  </si>
  <si>
    <t>30985750</t>
  </si>
  <si>
    <t>ООО "Надежда"</t>
  </si>
  <si>
    <t>2813000138</t>
  </si>
  <si>
    <t>250801001</t>
  </si>
  <si>
    <t>26502561</t>
  </si>
  <si>
    <t>ООО "Овсянка"</t>
  </si>
  <si>
    <t>2815014224</t>
  </si>
  <si>
    <t>30835105</t>
  </si>
  <si>
    <t>ООО "Октябрьские коммунальные системы"</t>
  </si>
  <si>
    <t>2815015997</t>
  </si>
  <si>
    <t>11-05-2016 00:00:00</t>
  </si>
  <si>
    <t>31007090</t>
  </si>
  <si>
    <t>ООО "Октябрьский Тепловик"</t>
  </si>
  <si>
    <t>2821005179</t>
  </si>
  <si>
    <t>31623575</t>
  </si>
  <si>
    <t>ООО "Орис"</t>
  </si>
  <si>
    <t>2801265997</t>
  </si>
  <si>
    <t>31420976</t>
  </si>
  <si>
    <t>ООО "ПОИСК ПАРТНЕР"</t>
  </si>
  <si>
    <t>2801247050</t>
  </si>
  <si>
    <t>31182833</t>
  </si>
  <si>
    <t>ООО "Прогресс"</t>
  </si>
  <si>
    <t>2827009814</t>
  </si>
  <si>
    <t>26502563</t>
  </si>
  <si>
    <t>ООО "Раздольненское"</t>
  </si>
  <si>
    <t>2827007969</t>
  </si>
  <si>
    <t>26320303</t>
  </si>
  <si>
    <t>ООО "Районные электрические сети"</t>
  </si>
  <si>
    <t>2808018394</t>
  </si>
  <si>
    <t>31500705</t>
  </si>
  <si>
    <t>ООО "Ресурс"</t>
  </si>
  <si>
    <t>2801259908</t>
  </si>
  <si>
    <t>06-10-2020 00:00:00</t>
  </si>
  <si>
    <t>31318009</t>
  </si>
  <si>
    <t>ООО "Ромненский Тепловик"</t>
  </si>
  <si>
    <t>2827009966</t>
  </si>
  <si>
    <t>10-06-2019 00:00:00</t>
  </si>
  <si>
    <t>31063566</t>
  </si>
  <si>
    <t>ООО "СВАРОГ"</t>
  </si>
  <si>
    <t>2801233931</t>
  </si>
  <si>
    <t>30371738</t>
  </si>
  <si>
    <t>ООО "СЕРВИС ДВ"</t>
  </si>
  <si>
    <t>2540190060</t>
  </si>
  <si>
    <t>28135114</t>
  </si>
  <si>
    <t>ООО "СК "Мост-Восток"</t>
  </si>
  <si>
    <t>5032189936</t>
  </si>
  <si>
    <t>06-06-2008 00:00:00</t>
  </si>
  <si>
    <t>26355487</t>
  </si>
  <si>
    <t>ООО "Садовский теплосервис-1"</t>
  </si>
  <si>
    <t>2827007408</t>
  </si>
  <si>
    <t>26502565</t>
  </si>
  <si>
    <t>ООО "Сервис"</t>
  </si>
  <si>
    <t>2827007239</t>
  </si>
  <si>
    <t>26355329</t>
  </si>
  <si>
    <t>ООО "Сергеевское"</t>
  </si>
  <si>
    <t>2801109839</t>
  </si>
  <si>
    <t>31305658</t>
  </si>
  <si>
    <t>21-02-2006 00:00:00</t>
  </si>
  <si>
    <t>26355423</t>
  </si>
  <si>
    <t>ООО "Сивакский РМЗ"</t>
  </si>
  <si>
    <t>2818004792</t>
  </si>
  <si>
    <t>30895270</t>
  </si>
  <si>
    <t>ООО "Сковородинская теплоснабжающая компания"</t>
  </si>
  <si>
    <t>2826000495</t>
  </si>
  <si>
    <t>31203279</t>
  </si>
  <si>
    <t>ООО "Спутник"</t>
  </si>
  <si>
    <t>2827009780</t>
  </si>
  <si>
    <t>26355387</t>
  </si>
  <si>
    <t>ООО "Строитель-2"</t>
  </si>
  <si>
    <t>2816005825</t>
  </si>
  <si>
    <t>31341268</t>
  </si>
  <si>
    <t>ООО "ТЕПЛО-СЕРВИС"</t>
  </si>
  <si>
    <t>2801248409</t>
  </si>
  <si>
    <t>01-07-2019 00:00:00</t>
  </si>
  <si>
    <t>30945849</t>
  </si>
  <si>
    <t>ООО "ТСК Амур-1"</t>
  </si>
  <si>
    <t>2814005153</t>
  </si>
  <si>
    <t>281401001</t>
  </si>
  <si>
    <t>30945883</t>
  </si>
  <si>
    <t>ООО "ТСК Амур-2"</t>
  </si>
  <si>
    <t>2814005139</t>
  </si>
  <si>
    <t>31193974</t>
  </si>
  <si>
    <t>ООО "ТЭК-Зея"</t>
  </si>
  <si>
    <t>2815014986</t>
  </si>
  <si>
    <t>31452535</t>
  </si>
  <si>
    <t>ООО "Тамбовский Тепловик"</t>
  </si>
  <si>
    <t>2827010249</t>
  </si>
  <si>
    <t>30943317</t>
  </si>
  <si>
    <t>ООО "Темп"</t>
  </si>
  <si>
    <t>2801214706</t>
  </si>
  <si>
    <t>28142788</t>
  </si>
  <si>
    <t>ООО "Тепло 8"</t>
  </si>
  <si>
    <t>2815005580</t>
  </si>
  <si>
    <t>30396882</t>
  </si>
  <si>
    <t>ООО "Тепло"</t>
  </si>
  <si>
    <t>2812171162</t>
  </si>
  <si>
    <t>31460222</t>
  </si>
  <si>
    <t>ООО "Тепло28"</t>
  </si>
  <si>
    <t>2801259760</t>
  </si>
  <si>
    <t>31169610</t>
  </si>
  <si>
    <t>ООО "ТеплоКом"</t>
  </si>
  <si>
    <t>2804018795</t>
  </si>
  <si>
    <t>30401560</t>
  </si>
  <si>
    <t>ООО "ТеплоСервис"</t>
  </si>
  <si>
    <t>2814005001</t>
  </si>
  <si>
    <t>17-06-2014 00:00:00</t>
  </si>
  <si>
    <t>30852123</t>
  </si>
  <si>
    <t>ООО "ТеплоСетьСервис"</t>
  </si>
  <si>
    <t>2801221887</t>
  </si>
  <si>
    <t>30852150</t>
  </si>
  <si>
    <t>ООО "Тепловая компания"</t>
  </si>
  <si>
    <t>2801221870</t>
  </si>
  <si>
    <t>27662125</t>
  </si>
  <si>
    <t>ООО "Тепловик"</t>
  </si>
  <si>
    <t>2824005240</t>
  </si>
  <si>
    <t>31246712</t>
  </si>
  <si>
    <t>ООО "Тепловодоканал"</t>
  </si>
  <si>
    <t>2813010440</t>
  </si>
  <si>
    <t>21-06-2018 00:00:00</t>
  </si>
  <si>
    <t>28829531</t>
  </si>
  <si>
    <t>ООО "Тепловые сети "Орлиный"</t>
  </si>
  <si>
    <t>2823083750</t>
  </si>
  <si>
    <t>31025479</t>
  </si>
  <si>
    <t>ООО "Теплоинвест"</t>
  </si>
  <si>
    <t>2807006090</t>
  </si>
  <si>
    <t>30892399</t>
  </si>
  <si>
    <t>ООО "Теплоком"</t>
  </si>
  <si>
    <t>2804017907</t>
  </si>
  <si>
    <t>28814463</t>
  </si>
  <si>
    <t>ООО "Теплокомфорт"</t>
  </si>
  <si>
    <t>2813009613</t>
  </si>
  <si>
    <t>31650187</t>
  </si>
  <si>
    <t>ООО "Теплоресурс"</t>
  </si>
  <si>
    <t>2827010489</t>
  </si>
  <si>
    <t>28814446</t>
  </si>
  <si>
    <t>ООО "Теплосервис"</t>
  </si>
  <si>
    <t>2813009645</t>
  </si>
  <si>
    <t>27568425</t>
  </si>
  <si>
    <t>ООО "Теплосеть"</t>
  </si>
  <si>
    <t>2807034001</t>
  </si>
  <si>
    <t>26355396</t>
  </si>
  <si>
    <t>2816008110</t>
  </si>
  <si>
    <t>26612191</t>
  </si>
  <si>
    <t>ООО "Теплоснаб"</t>
  </si>
  <si>
    <t>2807015489</t>
  </si>
  <si>
    <t>31378410</t>
  </si>
  <si>
    <t>ООО "Теплоснабжающая компания сковородинская"</t>
  </si>
  <si>
    <t>2801248085</t>
  </si>
  <si>
    <t>31206830</t>
  </si>
  <si>
    <t>ООО "Теплоснабжающая компания"</t>
  </si>
  <si>
    <t>2813010369</t>
  </si>
  <si>
    <t>26355495</t>
  </si>
  <si>
    <t>ООО "Теплоцентраль"</t>
  </si>
  <si>
    <t>2827008306</t>
  </si>
  <si>
    <t>27769058</t>
  </si>
  <si>
    <t>ООО "Торгово-производственная компания "Дальстройсервис"</t>
  </si>
  <si>
    <t>2801155810</t>
  </si>
  <si>
    <t>31327512</t>
  </si>
  <si>
    <t>ООО "Транзит"</t>
  </si>
  <si>
    <t>2801250260</t>
  </si>
  <si>
    <t>05-07-2019 00:00:00</t>
  </si>
  <si>
    <t>31598097</t>
  </si>
  <si>
    <t>ООО "Холдинг"</t>
  </si>
  <si>
    <t>2809000336</t>
  </si>
  <si>
    <t>26355372</t>
  </si>
  <si>
    <t>ООО "Энергетик"</t>
  </si>
  <si>
    <t>2813006348</t>
  </si>
  <si>
    <t>31084918</t>
  </si>
  <si>
    <t>ООО "Энергия"</t>
  </si>
  <si>
    <t>2809000199</t>
  </si>
  <si>
    <t>31431193</t>
  </si>
  <si>
    <t>ООО «Свободненская ТЭС»</t>
  </si>
  <si>
    <t>2807005882</t>
  </si>
  <si>
    <t>31435259</t>
  </si>
  <si>
    <t>ООО «Теплый дом»</t>
  </si>
  <si>
    <t>2815017070</t>
  </si>
  <si>
    <t>28424145</t>
  </si>
  <si>
    <t>ООО Амуркурорт</t>
  </si>
  <si>
    <t>2806007453</t>
  </si>
  <si>
    <t>26490674</t>
  </si>
  <si>
    <t>ООО Дальвагоноремонт</t>
  </si>
  <si>
    <t>7702673970</t>
  </si>
  <si>
    <t>281345001</t>
  </si>
  <si>
    <t>26502571</t>
  </si>
  <si>
    <t>ООО ЖКХ "Восток"</t>
  </si>
  <si>
    <t>2824004864</t>
  </si>
  <si>
    <t>30917475</t>
  </si>
  <si>
    <t>ООО МП "Союз ЭдАл"</t>
  </si>
  <si>
    <t>2801223612</t>
  </si>
  <si>
    <t>31350454</t>
  </si>
  <si>
    <t>ООО РСО "Приамурье"</t>
  </si>
  <si>
    <t>2815016694</t>
  </si>
  <si>
    <t>31449535</t>
  </si>
  <si>
    <t>ООО УК "Восток тепло-ресурс"</t>
  </si>
  <si>
    <t>2724240610</t>
  </si>
  <si>
    <t>272401001</t>
  </si>
  <si>
    <t>30401641</t>
  </si>
  <si>
    <t>ООО санаторий Бузули</t>
  </si>
  <si>
    <t>2823000391</t>
  </si>
  <si>
    <t>26355380</t>
  </si>
  <si>
    <t>ООО"Зейские тепловые сети"</t>
  </si>
  <si>
    <t>2815005780</t>
  </si>
  <si>
    <t>30374073</t>
  </si>
  <si>
    <t>Обособл.подразделение "Амурское" АО "Глав.управление ЖКХ"</t>
  </si>
  <si>
    <t>5116000922</t>
  </si>
  <si>
    <t>31159535</t>
  </si>
  <si>
    <t>Общество с ограниченной отвественностью "Система"</t>
  </si>
  <si>
    <t>2814004939</t>
  </si>
  <si>
    <t>31021740</t>
  </si>
  <si>
    <t>Общество с ограниченной ответственностью "Магдагачинская компания теплоснабжения"</t>
  </si>
  <si>
    <t>2818006743</t>
  </si>
  <si>
    <t>31317236</t>
  </si>
  <si>
    <t>Общество с ограниченной ответственностью "Регион"</t>
  </si>
  <si>
    <t>2801242894</t>
  </si>
  <si>
    <t>26490683</t>
  </si>
  <si>
    <t>Общество с ограниченной ответственностью "Свет"</t>
  </si>
  <si>
    <t>2825009914</t>
  </si>
  <si>
    <t>31229117</t>
  </si>
  <si>
    <t>Общество с ограниченной ответственностью "ХОРС-ресурс"</t>
  </si>
  <si>
    <t>2801244250</t>
  </si>
  <si>
    <t>26641427</t>
  </si>
  <si>
    <t>ПМС №185</t>
  </si>
  <si>
    <t>31020010</t>
  </si>
  <si>
    <t>СПК "КОРФОВСКИЙ"</t>
  </si>
  <si>
    <t>2827001318</t>
  </si>
  <si>
    <t>26616851</t>
  </si>
  <si>
    <t>Талданский щебеночный завод - филиал ОАО "Первая нерудная компания"</t>
  </si>
  <si>
    <t>7708670326</t>
  </si>
  <si>
    <t>770401001</t>
  </si>
  <si>
    <t>30911930</t>
  </si>
  <si>
    <t>УМПОПиТ "Вариант"</t>
  </si>
  <si>
    <t>2813004982</t>
  </si>
  <si>
    <t>УПРАВЛЕНИЕ ГОСУДАРСТВЕННОГО РЕГУЛИРОВАНИЯ ЦЕН И ТАРИФОВ АМУРСКОЙ ОБЛАСТИ</t>
  </si>
  <si>
    <t>2801138815</t>
  </si>
  <si>
    <t>31084701</t>
  </si>
  <si>
    <t>ФГБУ "ЦЖКУ" МО РФ (Филиал по ВВО ЖКС №7)</t>
  </si>
  <si>
    <t>7729314745</t>
  </si>
  <si>
    <t>280445002</t>
  </si>
  <si>
    <t>30926365</t>
  </si>
  <si>
    <t>ФГБУ «ЦЖКУ» МО РФ (Филиал ФГБУ «ЦЖКУ» МО РФ по ВВО)</t>
  </si>
  <si>
    <t>272443001</t>
  </si>
  <si>
    <t>20-03-2017 00:00:00</t>
  </si>
  <si>
    <t>26355339</t>
  </si>
  <si>
    <t>ФГКУ "ЛОТОС"</t>
  </si>
  <si>
    <t>2806001780</t>
  </si>
  <si>
    <t>26616844</t>
  </si>
  <si>
    <t>ФГКУ "Пограничное управление Федеральное службы безопасности Российской Федерации по Амурской области"</t>
  </si>
  <si>
    <t>27896331</t>
  </si>
  <si>
    <t>Филиал "Нерюнгринское РНУ" ООО "Транснефть-Восток"</t>
  </si>
  <si>
    <t>3801079671</t>
  </si>
  <si>
    <t>143402001</t>
  </si>
  <si>
    <t>26490730</t>
  </si>
  <si>
    <t>Филиал ПАО "РусГидро" - "Бурейская ГЭС"</t>
  </si>
  <si>
    <t>2460066195</t>
  </si>
  <si>
    <t>281302001</t>
  </si>
  <si>
    <t>26489834</t>
  </si>
  <si>
    <t>Филиал ПАО "РусГидро" - "Зейская ГЭС"</t>
  </si>
  <si>
    <t>280502001</t>
  </si>
  <si>
    <t>30988294</t>
  </si>
  <si>
    <t>Филиал РТРС "Амурский ОРТПЦ"</t>
  </si>
  <si>
    <t>7717127211</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</si>
  <si>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</si>
  <si>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</si>
  <si>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</si>
  <si>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</si>
  <si>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26612230</t>
  </si>
  <si>
    <t>ООО "Варваровское домоуправление"</t>
  </si>
  <si>
    <t>2821003990</t>
  </si>
  <si>
    <t>28985589</t>
  </si>
  <si>
    <t>ООО "Городок"</t>
  </si>
  <si>
    <t>2814004022</t>
  </si>
  <si>
    <t>31508766</t>
  </si>
  <si>
    <t>Администрация Новокиевского сельсовета</t>
  </si>
  <si>
    <t>2819000977</t>
  </si>
  <si>
    <t>31739027</t>
  </si>
  <si>
    <t>ИП Нагач Иван Игоревич</t>
  </si>
  <si>
    <t>281802550416</t>
  </si>
  <si>
    <t>31686343</t>
  </si>
  <si>
    <t>МАУ "Благоустройство"</t>
  </si>
  <si>
    <t>2806008947</t>
  </si>
  <si>
    <t>28545425</t>
  </si>
  <si>
    <t>МБУ "Поярковское"</t>
  </si>
  <si>
    <t>2820010747</t>
  </si>
  <si>
    <t>31401169</t>
  </si>
  <si>
    <t>МБУ "Согласие"</t>
  </si>
  <si>
    <t>2827010023</t>
  </si>
  <si>
    <t>31690113</t>
  </si>
  <si>
    <t>МБУ Серышевского округа "ПГТ Серышево"</t>
  </si>
  <si>
    <t>2804020963</t>
  </si>
  <si>
    <t>31083427</t>
  </si>
  <si>
    <t>МКП "Исток"</t>
  </si>
  <si>
    <t>2813010288</t>
  </si>
  <si>
    <t>14-08-2017 00:00:00</t>
  </si>
  <si>
    <t>31594349</t>
  </si>
  <si>
    <t>МКП "СОЛНЕЧНЫЙ"</t>
  </si>
  <si>
    <t>2826001266</t>
  </si>
  <si>
    <t>01-09-2021 00:00:00</t>
  </si>
  <si>
    <t>31678478</t>
  </si>
  <si>
    <t>МКУ "Аргинское"</t>
  </si>
  <si>
    <t>2804020900</t>
  </si>
  <si>
    <t>31700169</t>
  </si>
  <si>
    <t>МКУ "ЛЕБЯЖЬЕВСКОЕ"</t>
  </si>
  <si>
    <t>2804020995</t>
  </si>
  <si>
    <t>31678485</t>
  </si>
  <si>
    <t>МКУ "Нововоскресеновская администрация Шимановского муниципального округа"</t>
  </si>
  <si>
    <t>2800000109</t>
  </si>
  <si>
    <t>31696936</t>
  </si>
  <si>
    <t>МКУ "Полянское"</t>
  </si>
  <si>
    <t>2804020917</t>
  </si>
  <si>
    <t>31678492</t>
  </si>
  <si>
    <t>МКУ "Саскалинская администрация Шимановского муниципального округа"</t>
  </si>
  <si>
    <t>2800000081</t>
  </si>
  <si>
    <t>31696940</t>
  </si>
  <si>
    <t>МКУ "Сосновское"</t>
  </si>
  <si>
    <t>2804021004</t>
  </si>
  <si>
    <t>31716269</t>
  </si>
  <si>
    <t>МКУ "Томское"</t>
  </si>
  <si>
    <t>2804020924</t>
  </si>
  <si>
    <t>31671027</t>
  </si>
  <si>
    <t>МКУ "Украинское"</t>
  </si>
  <si>
    <t>2804020949</t>
  </si>
  <si>
    <t>26787985</t>
  </si>
  <si>
    <t>МУП "Водоканал" (ЗАТО Углегорск)</t>
  </si>
  <si>
    <t>2823007848</t>
  </si>
  <si>
    <t>31369152</t>
  </si>
  <si>
    <t>МУП "ЖИЛСЕРВИС"</t>
  </si>
  <si>
    <t>2826004482</t>
  </si>
  <si>
    <t>28981545</t>
  </si>
  <si>
    <t>МУП "Комбинат благоустройства"</t>
  </si>
  <si>
    <t>2824005498</t>
  </si>
  <si>
    <t>26371595</t>
  </si>
  <si>
    <t>МУП "Родник"</t>
  </si>
  <si>
    <t>2809065301</t>
  </si>
  <si>
    <t>30357296</t>
  </si>
  <si>
    <t>МУП "Тыгдинский жилкомхоз"</t>
  </si>
  <si>
    <t>2818002918</t>
  </si>
  <si>
    <t>31225193</t>
  </si>
  <si>
    <t>Муниципальное унитарное предприятие "Универсал" (МУП "Универсал")</t>
  </si>
  <si>
    <t>2817004983</t>
  </si>
  <si>
    <t>30978520</t>
  </si>
  <si>
    <t>ООО "Авангард"</t>
  </si>
  <si>
    <t>2821005130</t>
  </si>
  <si>
    <t>31564631</t>
  </si>
  <si>
    <t>ООО "Агидель"</t>
  </si>
  <si>
    <t>2807008065</t>
  </si>
  <si>
    <t>30360645</t>
  </si>
  <si>
    <t>ООО "АкваСервис"</t>
  </si>
  <si>
    <t>2812170151</t>
  </si>
  <si>
    <t>28867501</t>
  </si>
  <si>
    <t>ООО "Аквавита"</t>
  </si>
  <si>
    <t>2813009660</t>
  </si>
  <si>
    <t>31584991</t>
  </si>
  <si>
    <t>ООО "Аквасфера"</t>
  </si>
  <si>
    <t>2804020530</t>
  </si>
  <si>
    <t>27570985</t>
  </si>
  <si>
    <t>ООО "Арго"</t>
  </si>
  <si>
    <t>2807002338</t>
  </si>
  <si>
    <t>28141120</t>
  </si>
  <si>
    <t>ООО "Артемида"</t>
  </si>
  <si>
    <t>2801147150</t>
  </si>
  <si>
    <t>31564977</t>
  </si>
  <si>
    <t>ООО "ВЕСТА"</t>
  </si>
  <si>
    <t>2813011108</t>
  </si>
  <si>
    <t>30854492</t>
  </si>
  <si>
    <t>ООО "Водоканал города Белогорска"</t>
  </si>
  <si>
    <t>2804017618</t>
  </si>
  <si>
    <t>31455816</t>
  </si>
  <si>
    <t>ООО "Водоканал"</t>
  </si>
  <si>
    <t>2807008114</t>
  </si>
  <si>
    <t>31160759</t>
  </si>
  <si>
    <t>2816009971</t>
  </si>
  <si>
    <t>03-08-2017 00:00:00</t>
  </si>
  <si>
    <t>30856388</t>
  </si>
  <si>
    <t>ООО "Водоканал" (Магдагачи)</t>
  </si>
  <si>
    <t>2818006528</t>
  </si>
  <si>
    <t>31477191</t>
  </si>
  <si>
    <t>ООО "Водоканал" (пгт. Бурея)</t>
  </si>
  <si>
    <t>2813010880</t>
  </si>
  <si>
    <t>26371544</t>
  </si>
  <si>
    <t>ООО "Водоочистная станция-3"</t>
  </si>
  <si>
    <t>2815013774</t>
  </si>
  <si>
    <t>31349441</t>
  </si>
  <si>
    <t>ООО "Водосток"</t>
  </si>
  <si>
    <t>2807007142</t>
  </si>
  <si>
    <t>26609734</t>
  </si>
  <si>
    <t>ООО "Водосток-сервис"</t>
  </si>
  <si>
    <t>2804014399</t>
  </si>
  <si>
    <t>28-04-2010 00:00:00</t>
  </si>
  <si>
    <t>30948628</t>
  </si>
  <si>
    <t>ООО "Гидросток"</t>
  </si>
  <si>
    <t>2804018210</t>
  </si>
  <si>
    <t>30355176</t>
  </si>
  <si>
    <t>ООО "ЖКХ Архара"</t>
  </si>
  <si>
    <t>2810005473</t>
  </si>
  <si>
    <t>30383020</t>
  </si>
  <si>
    <t>ООО "Жилищно-коммунальное хозяйство "Искра""</t>
  </si>
  <si>
    <t>2824005466</t>
  </si>
  <si>
    <t>31087720</t>
  </si>
  <si>
    <t>ООО "Завитинский Водоканал"</t>
  </si>
  <si>
    <t>2814005107</t>
  </si>
  <si>
    <t>26371555</t>
  </si>
  <si>
    <t>ООО "Зарево"</t>
  </si>
  <si>
    <t>2816008047</t>
  </si>
  <si>
    <t>31215524</t>
  </si>
  <si>
    <t>2814005178</t>
  </si>
  <si>
    <t>16-03-2018 00:00:00</t>
  </si>
  <si>
    <t>31457126</t>
  </si>
  <si>
    <t>ООО "Коммунальное сетевое предприятие"</t>
  </si>
  <si>
    <t>2813010390</t>
  </si>
  <si>
    <t>31685767</t>
  </si>
  <si>
    <t>ООО "Октябрьский водоканал"</t>
  </si>
  <si>
    <t>2827010619</t>
  </si>
  <si>
    <t>28139100</t>
  </si>
  <si>
    <t>ООО "Районные сети водоснабжения и водоотведения"</t>
  </si>
  <si>
    <t>2823011650</t>
  </si>
  <si>
    <t>31196187</t>
  </si>
  <si>
    <t>ООО "Районный водоканал"</t>
  </si>
  <si>
    <t>2804018788</t>
  </si>
  <si>
    <t>31515111</t>
  </si>
  <si>
    <t>2827010390</t>
  </si>
  <si>
    <t>31638702</t>
  </si>
  <si>
    <t>ООО "Ресурс-Сервис"</t>
  </si>
  <si>
    <t>2818006951</t>
  </si>
  <si>
    <t>28983252</t>
  </si>
  <si>
    <t>ООО "Родник"</t>
  </si>
  <si>
    <t>2815015387</t>
  </si>
  <si>
    <t>31275733</t>
  </si>
  <si>
    <t>2826000015</t>
  </si>
  <si>
    <t>12-02-2015 00:00:00</t>
  </si>
  <si>
    <t>31110256</t>
  </si>
  <si>
    <t>ООО "Сковородинская водоснабжающая компания"</t>
  </si>
  <si>
    <t>2826000939</t>
  </si>
  <si>
    <t>31500400</t>
  </si>
  <si>
    <t>ООО "Спектр-1"</t>
  </si>
  <si>
    <t>2816009749</t>
  </si>
  <si>
    <t>12-03-2015 00:00:00</t>
  </si>
  <si>
    <t>31359534</t>
  </si>
  <si>
    <t>ООО "Топливный резерв"</t>
  </si>
  <si>
    <t>2813010111</t>
  </si>
  <si>
    <t>28283795</t>
  </si>
  <si>
    <t>ООО "Транснефть - Дальний Восток"</t>
  </si>
  <si>
    <t>2724132118</t>
  </si>
  <si>
    <t>280443001</t>
  </si>
  <si>
    <t>31518594</t>
  </si>
  <si>
    <t>ООО "Фаворит"</t>
  </si>
  <si>
    <t>2815017190</t>
  </si>
  <si>
    <t>31700089</t>
  </si>
  <si>
    <t>ООО "ЧИСТАЯ ВОДА"</t>
  </si>
  <si>
    <t>2813011281</t>
  </si>
  <si>
    <t>28796746</t>
  </si>
  <si>
    <t>ООО «ЖилКоммунСервис»</t>
  </si>
  <si>
    <t>2804016477</t>
  </si>
  <si>
    <t>28467234</t>
  </si>
  <si>
    <t>Общество с ограниченной ответственностью " Жилсервис"</t>
  </si>
  <si>
    <t>2812170360</t>
  </si>
  <si>
    <t>31089007</t>
  </si>
  <si>
    <t>Общество с ограниченной ответственностью "Водоканал"</t>
  </si>
  <si>
    <t>2809000174</t>
  </si>
  <si>
    <t>31225761</t>
  </si>
  <si>
    <t>Общество с ограниченной ответственностью "Дельта"</t>
  </si>
  <si>
    <t>2807006082</t>
  </si>
  <si>
    <t>28867646</t>
  </si>
  <si>
    <t>Общество с ограниченной ответственностью "Спектр"</t>
  </si>
  <si>
    <t>2816008449</t>
  </si>
  <si>
    <t>26609841</t>
  </si>
  <si>
    <t>ГАУ АО ПОО "Амурский медицинский колледж"</t>
  </si>
  <si>
    <t>2801031893</t>
  </si>
  <si>
    <t>26497643</t>
  </si>
  <si>
    <t>ОГУЗ АОДКБ</t>
  </si>
  <si>
    <t>2801022680</t>
  </si>
  <si>
    <t>28983260</t>
  </si>
  <si>
    <t>ООО "Три колор"</t>
  </si>
  <si>
    <t>2801117607</t>
  </si>
  <si>
    <t>31434714</t>
  </si>
  <si>
    <t>ООО «Торговый дом «СТ»</t>
  </si>
  <si>
    <t>2722060620</t>
  </si>
  <si>
    <t>272201001</t>
  </si>
  <si>
    <t>26609747</t>
  </si>
  <si>
    <t>ООО СПК "Амурптицепром"</t>
  </si>
  <si>
    <t>2801095939</t>
  </si>
  <si>
    <t>31700183</t>
  </si>
  <si>
    <t>ИП Сущевский А. С.</t>
  </si>
  <si>
    <t>280114465246</t>
  </si>
  <si>
    <t>31700187</t>
  </si>
  <si>
    <t>ИП Чупыра Е.А.</t>
  </si>
  <si>
    <t>280700744837</t>
  </si>
  <si>
    <t>31638698</t>
  </si>
  <si>
    <t>ООО "Веранг ДВ"</t>
  </si>
  <si>
    <t>2723069696</t>
  </si>
  <si>
    <t>27548088</t>
  </si>
  <si>
    <t>ООО "Жилищный эксплуатационный участок"</t>
  </si>
  <si>
    <t>2806007132</t>
  </si>
  <si>
    <t>27542118</t>
  </si>
  <si>
    <t>ООО "Спецавтохозяйство"</t>
  </si>
  <si>
    <t>2807015182</t>
  </si>
  <si>
    <t>31701058</t>
  </si>
  <si>
    <t>ООО «АмурСпецТранс»</t>
  </si>
  <si>
    <t>2815016038</t>
  </si>
  <si>
    <t>31700179</t>
  </si>
  <si>
    <t>ООО «Икс Эль»</t>
  </si>
  <si>
    <t>2801137829</t>
  </si>
  <si>
    <t>31699117</t>
  </si>
  <si>
    <t>ООО «САТ»</t>
  </si>
  <si>
    <t>2807004889</t>
  </si>
  <si>
    <t>31700841</t>
  </si>
  <si>
    <t>ООО «САХ»</t>
  </si>
  <si>
    <t>2801128831</t>
  </si>
  <si>
    <t>31701434</t>
  </si>
  <si>
    <t>ООО «Спецсервис»</t>
  </si>
  <si>
    <t>2808000598</t>
  </si>
  <si>
    <t>28816019</t>
  </si>
  <si>
    <t>ООО Полигон</t>
  </si>
  <si>
    <t>2801190759</t>
  </si>
  <si>
    <t>26841794</t>
  </si>
  <si>
    <t>Общество с ограниченной ответственностью "Автосити"</t>
  </si>
  <si>
    <t>2804011662</t>
  </si>
  <si>
    <t>31226655</t>
  </si>
  <si>
    <t>Общество с ограниченной ответственностью "Спецэкомаш"</t>
  </si>
  <si>
    <t>5448951953</t>
  </si>
  <si>
    <t>31209158</t>
  </si>
  <si>
    <t>Общество с ограниченной ответственностью "ТрансЭкоСервис"</t>
  </si>
  <si>
    <t>2804014952</t>
  </si>
  <si>
    <t>NSRF</t>
  </si>
  <si>
    <t>MR_NAME</t>
  </si>
  <si>
    <t>OKTMO_MR_NAME</t>
  </si>
  <si>
    <t>MO_NAME</t>
  </si>
  <si>
    <t>OKTMO_NAME</t>
  </si>
  <si>
    <t>TYPE</t>
  </si>
  <si>
    <t>MR_ID</t>
  </si>
  <si>
    <t>Архаринский муниципальный округ</t>
  </si>
  <si>
    <t>10505000</t>
  </si>
  <si>
    <t>муниципальный округ</t>
  </si>
  <si>
    <t>Белогорский муниципальный округ</t>
  </si>
  <si>
    <t>10508000</t>
  </si>
  <si>
    <t>10511000</t>
  </si>
  <si>
    <t>сельское поселение</t>
  </si>
  <si>
    <t>Бурейский муниципальный округ</t>
  </si>
  <si>
    <t>10515000</t>
  </si>
  <si>
    <t>Город Белогорск</t>
  </si>
  <si>
    <t>10710000</t>
  </si>
  <si>
    <t>городской округ</t>
  </si>
  <si>
    <t>Город Зея</t>
  </si>
  <si>
    <t>10712000</t>
  </si>
  <si>
    <t>Город Райчихинск</t>
  </si>
  <si>
    <t>10720000</t>
  </si>
  <si>
    <t>Город Свободный</t>
  </si>
  <si>
    <t>10730000</t>
  </si>
  <si>
    <t>Город Тында</t>
  </si>
  <si>
    <t>10732000</t>
  </si>
  <si>
    <t>Город Шимановск</t>
  </si>
  <si>
    <t>10740000</t>
  </si>
  <si>
    <t>ЗАТО Циолковский</t>
  </si>
  <si>
    <t>10770000</t>
  </si>
  <si>
    <t>Завитинский муниципальный округ</t>
  </si>
  <si>
    <t>10521000</t>
  </si>
  <si>
    <t>Зейский муниципальный округ</t>
  </si>
  <si>
    <t>10525000</t>
  </si>
  <si>
    <t>Зейский муниципальный район</t>
  </si>
  <si>
    <t>10625000</t>
  </si>
  <si>
    <t>Алгачинское</t>
  </si>
  <si>
    <t>10625408</t>
  </si>
  <si>
    <t>Амуро-Балтийское</t>
  </si>
  <si>
    <t>10625404</t>
  </si>
  <si>
    <t>Береговое</t>
  </si>
  <si>
    <t>10625420</t>
  </si>
  <si>
    <t>Бомнакское</t>
  </si>
  <si>
    <t>10625412</t>
  </si>
  <si>
    <t>Верхнезейское</t>
  </si>
  <si>
    <t>10625414</t>
  </si>
  <si>
    <t>Горненское</t>
  </si>
  <si>
    <t>10625417</t>
  </si>
  <si>
    <t>Дугдинское</t>
  </si>
  <si>
    <t>10625423</t>
  </si>
  <si>
    <t>муниципальный район</t>
  </si>
  <si>
    <t>Ивановское</t>
  </si>
  <si>
    <t>10625428</t>
  </si>
  <si>
    <t>Межселенные территории Зейского муниципального района, кроме территорий сельских поселений</t>
  </si>
  <si>
    <t>10625702</t>
  </si>
  <si>
    <t>межселенная территория</t>
  </si>
  <si>
    <t>Николаевское</t>
  </si>
  <si>
    <t>10625432</t>
  </si>
  <si>
    <t>Овсянковское</t>
  </si>
  <si>
    <t>10625440</t>
  </si>
  <si>
    <t>Огоронское</t>
  </si>
  <si>
    <t>10625441</t>
  </si>
  <si>
    <t>Октябрьское</t>
  </si>
  <si>
    <t>10625442</t>
  </si>
  <si>
    <t>Поляковское</t>
  </si>
  <si>
    <t>10625443</t>
  </si>
  <si>
    <t>Снежногорское</t>
  </si>
  <si>
    <t>10625456</t>
  </si>
  <si>
    <t>Сосновоборское</t>
  </si>
  <si>
    <t>10625452</t>
  </si>
  <si>
    <t>Тунгалинское</t>
  </si>
  <si>
    <t>10625457</t>
  </si>
  <si>
    <t>Умлеканское</t>
  </si>
  <si>
    <t>10625460</t>
  </si>
  <si>
    <t>Хвойненское</t>
  </si>
  <si>
    <t>10625444</t>
  </si>
  <si>
    <t>Чалбачинское</t>
  </si>
  <si>
    <t>10625462</t>
  </si>
  <si>
    <t>Юбилейненское</t>
  </si>
  <si>
    <t>10625464</t>
  </si>
  <si>
    <t>Ивановский муниципальный округ</t>
  </si>
  <si>
    <t>10528000</t>
  </si>
  <si>
    <t>Константиновский муниципальный район</t>
  </si>
  <si>
    <t>10630000</t>
  </si>
  <si>
    <t>Верхнеполтавское</t>
  </si>
  <si>
    <t>10630404</t>
  </si>
  <si>
    <t>Верхнеуртуйское</t>
  </si>
  <si>
    <t>10630408</t>
  </si>
  <si>
    <t>Зеньковское</t>
  </si>
  <si>
    <t>10630412</t>
  </si>
  <si>
    <t>Ключевское</t>
  </si>
  <si>
    <t>10630416</t>
  </si>
  <si>
    <t>Коврижское</t>
  </si>
  <si>
    <t>10630420</t>
  </si>
  <si>
    <t>Константиновское</t>
  </si>
  <si>
    <t>10630424</t>
  </si>
  <si>
    <t>Крестовоздвиженское</t>
  </si>
  <si>
    <t>10630428</t>
  </si>
  <si>
    <t>Нижнеполтавское</t>
  </si>
  <si>
    <t>10630432</t>
  </si>
  <si>
    <t>Новопетровское</t>
  </si>
  <si>
    <t>10630436</t>
  </si>
  <si>
    <t>Новотроицкое</t>
  </si>
  <si>
    <t>10630440</t>
  </si>
  <si>
    <t>Семидомское</t>
  </si>
  <si>
    <t>10630450</t>
  </si>
  <si>
    <t>Магдагачинский муниципальный район</t>
  </si>
  <si>
    <t>10631000</t>
  </si>
  <si>
    <t>Гонжинское</t>
  </si>
  <si>
    <t>10631404</t>
  </si>
  <si>
    <t>Гудачинское</t>
  </si>
  <si>
    <t>10631406</t>
  </si>
  <si>
    <t>Дактуйское</t>
  </si>
  <si>
    <t>10631408</t>
  </si>
  <si>
    <t>Кузнецовское</t>
  </si>
  <si>
    <t>10631412</t>
  </si>
  <si>
    <t>Межселенные территории Магдагачинского муниципального района, кроме территорий городских и сельских поселений</t>
  </si>
  <si>
    <t>10631702</t>
  </si>
  <si>
    <t>Поселок Магдагачи</t>
  </si>
  <si>
    <t>10631151</t>
  </si>
  <si>
    <t>городское поселение, в состав которого входит поселок</t>
  </si>
  <si>
    <t>Поселок Сиваки</t>
  </si>
  <si>
    <t>10631160</t>
  </si>
  <si>
    <t>Поселок Ушумун</t>
  </si>
  <si>
    <t>10631170</t>
  </si>
  <si>
    <t>Толбузинское</t>
  </si>
  <si>
    <t>10631420</t>
  </si>
  <si>
    <t>60</t>
  </si>
  <si>
    <t>Тыгдинское</t>
  </si>
  <si>
    <t>10631422</t>
  </si>
  <si>
    <t>61</t>
  </si>
  <si>
    <t>Чалганское</t>
  </si>
  <si>
    <t>10631424</t>
  </si>
  <si>
    <t>62</t>
  </si>
  <si>
    <t>Черняевское</t>
  </si>
  <si>
    <t>10631428</t>
  </si>
  <si>
    <t>63</t>
  </si>
  <si>
    <t>Мазановский муниципальный район</t>
  </si>
  <si>
    <t>10632000</t>
  </si>
  <si>
    <t>Белояровское</t>
  </si>
  <si>
    <t>10632404</t>
  </si>
  <si>
    <t>64</t>
  </si>
  <si>
    <t>Дмитриевское</t>
  </si>
  <si>
    <t>10632416</t>
  </si>
  <si>
    <t>65</t>
  </si>
  <si>
    <t>Краснояровское</t>
  </si>
  <si>
    <t>10632420</t>
  </si>
  <si>
    <t>67</t>
  </si>
  <si>
    <t>Мазановское</t>
  </si>
  <si>
    <t>10632424</t>
  </si>
  <si>
    <t>Майское</t>
  </si>
  <si>
    <t>10632425</t>
  </si>
  <si>
    <t>69</t>
  </si>
  <si>
    <t>Межселенные территории Мазановского муниципального района, включающая с Богословка, с Козловка</t>
  </si>
  <si>
    <t>10632702</t>
  </si>
  <si>
    <t>70</t>
  </si>
  <si>
    <t>Молчановское</t>
  </si>
  <si>
    <t>10632432</t>
  </si>
  <si>
    <t>71</t>
  </si>
  <si>
    <t>Новокиевское</t>
  </si>
  <si>
    <t>10632436</t>
  </si>
  <si>
    <t>72</t>
  </si>
  <si>
    <t>Новороссийское</t>
  </si>
  <si>
    <t>10632440</t>
  </si>
  <si>
    <t>73</t>
  </si>
  <si>
    <t>Практичанское</t>
  </si>
  <si>
    <t>10632448</t>
  </si>
  <si>
    <t>74</t>
  </si>
  <si>
    <t>Путятинское</t>
  </si>
  <si>
    <t>10632452</t>
  </si>
  <si>
    <t>75</t>
  </si>
  <si>
    <t>Сапроновское</t>
  </si>
  <si>
    <t>10632460</t>
  </si>
  <si>
    <t>76</t>
  </si>
  <si>
    <t>Угловское</t>
  </si>
  <si>
    <t>10632464</t>
  </si>
  <si>
    <t>77</t>
  </si>
  <si>
    <t>Михайловский муниципальный район</t>
  </si>
  <si>
    <t>10635000</t>
  </si>
  <si>
    <t>Воскресеновское</t>
  </si>
  <si>
    <t>10635408</t>
  </si>
  <si>
    <t>78</t>
  </si>
  <si>
    <t>Димское</t>
  </si>
  <si>
    <t>10635412</t>
  </si>
  <si>
    <t>79</t>
  </si>
  <si>
    <t>Дубовское</t>
  </si>
  <si>
    <t>10635416</t>
  </si>
  <si>
    <t>80</t>
  </si>
  <si>
    <t>Зеленоборское</t>
  </si>
  <si>
    <t>10635420</t>
  </si>
  <si>
    <t>81</t>
  </si>
  <si>
    <t>Ильиновское</t>
  </si>
  <si>
    <t>10635424</t>
  </si>
  <si>
    <t>82</t>
  </si>
  <si>
    <t>Калининское</t>
  </si>
  <si>
    <t>10635428</t>
  </si>
  <si>
    <t>83</t>
  </si>
  <si>
    <t>Коршуновское</t>
  </si>
  <si>
    <t>10635432</t>
  </si>
  <si>
    <t>84</t>
  </si>
  <si>
    <t>85</t>
  </si>
  <si>
    <t>Михайловское</t>
  </si>
  <si>
    <t>10635436</t>
  </si>
  <si>
    <t>86</t>
  </si>
  <si>
    <t>Новочесноковское</t>
  </si>
  <si>
    <t>10635440</t>
  </si>
  <si>
    <t>87</t>
  </si>
  <si>
    <t>Поярковское</t>
  </si>
  <si>
    <t>10635442</t>
  </si>
  <si>
    <t>88</t>
  </si>
  <si>
    <t>Чесноковское</t>
  </si>
  <si>
    <t>10635444</t>
  </si>
  <si>
    <t>89</t>
  </si>
  <si>
    <t>Октябрьский муниципальный район</t>
  </si>
  <si>
    <t>10638000</t>
  </si>
  <si>
    <t>Борисоглебское</t>
  </si>
  <si>
    <t>10638402</t>
  </si>
  <si>
    <t>90</t>
  </si>
  <si>
    <t>Варваровское</t>
  </si>
  <si>
    <t>10638405</t>
  </si>
  <si>
    <t>91</t>
  </si>
  <si>
    <t>Восточное</t>
  </si>
  <si>
    <t>10638408</t>
  </si>
  <si>
    <t>92</t>
  </si>
  <si>
    <t>Екатеринославское</t>
  </si>
  <si>
    <t>10638403</t>
  </si>
  <si>
    <t>93</t>
  </si>
  <si>
    <t>Королинское</t>
  </si>
  <si>
    <t>10638424</t>
  </si>
  <si>
    <t>94</t>
  </si>
  <si>
    <t>Максимовское</t>
  </si>
  <si>
    <t>10638412</t>
  </si>
  <si>
    <t>95</t>
  </si>
  <si>
    <t>Мухинское</t>
  </si>
  <si>
    <t>10638416</t>
  </si>
  <si>
    <t>96</t>
  </si>
  <si>
    <t>Николо-Александровское</t>
  </si>
  <si>
    <t>10638420</t>
  </si>
  <si>
    <t>97</t>
  </si>
  <si>
    <t>Новомихайловское</t>
  </si>
  <si>
    <t>10638428</t>
  </si>
  <si>
    <t>98</t>
  </si>
  <si>
    <t>99</t>
  </si>
  <si>
    <t>Панинское</t>
  </si>
  <si>
    <t>10638429</t>
  </si>
  <si>
    <t>100</t>
  </si>
  <si>
    <t>Песчаноозерское</t>
  </si>
  <si>
    <t>10638432</t>
  </si>
  <si>
    <t>101</t>
  </si>
  <si>
    <t>Романовское</t>
  </si>
  <si>
    <t>10638436</t>
  </si>
  <si>
    <t>102</t>
  </si>
  <si>
    <t>Трудовое</t>
  </si>
  <si>
    <t>10638404</t>
  </si>
  <si>
    <t>103</t>
  </si>
  <si>
    <t>Ромненский муниципальный округ</t>
  </si>
  <si>
    <t>10540000</t>
  </si>
  <si>
    <t>105</t>
  </si>
  <si>
    <t>Свободненский муниципальный район</t>
  </si>
  <si>
    <t>10642000</t>
  </si>
  <si>
    <t>10642412</t>
  </si>
  <si>
    <t>106</t>
  </si>
  <si>
    <t>Желтояровское</t>
  </si>
  <si>
    <t>10642416</t>
  </si>
  <si>
    <t>107</t>
  </si>
  <si>
    <t>Загорно-Селитьбинское</t>
  </si>
  <si>
    <t>10642420</t>
  </si>
  <si>
    <t>108</t>
  </si>
  <si>
    <t>Климоуцевское</t>
  </si>
  <si>
    <t>10642424</t>
  </si>
  <si>
    <t>109</t>
  </si>
  <si>
    <t>Костюковское</t>
  </si>
  <si>
    <t>10642428</t>
  </si>
  <si>
    <t>110</t>
  </si>
  <si>
    <t>Курганское</t>
  </si>
  <si>
    <t>10642430</t>
  </si>
  <si>
    <t>Малосазанское</t>
  </si>
  <si>
    <t>10642434</t>
  </si>
  <si>
    <t>112</t>
  </si>
  <si>
    <t>Москвитинское</t>
  </si>
  <si>
    <t>10642440</t>
  </si>
  <si>
    <t>113</t>
  </si>
  <si>
    <t>Нижнебузулинское</t>
  </si>
  <si>
    <t>10642444</t>
  </si>
  <si>
    <t>114</t>
  </si>
  <si>
    <t>Новгородское</t>
  </si>
  <si>
    <t>10642432</t>
  </si>
  <si>
    <t>115</t>
  </si>
  <si>
    <t>Новоивановское</t>
  </si>
  <si>
    <t>10642448</t>
  </si>
  <si>
    <t>116</t>
  </si>
  <si>
    <t>Петропавловское</t>
  </si>
  <si>
    <t>10642460</t>
  </si>
  <si>
    <t>117</t>
  </si>
  <si>
    <t>118</t>
  </si>
  <si>
    <t>Семеновское</t>
  </si>
  <si>
    <t>10642468</t>
  </si>
  <si>
    <t>119</t>
  </si>
  <si>
    <t>Сычевское</t>
  </si>
  <si>
    <t>10642476</t>
  </si>
  <si>
    <t>120</t>
  </si>
  <si>
    <t>Черновское</t>
  </si>
  <si>
    <t>10642488</t>
  </si>
  <si>
    <t>121</t>
  </si>
  <si>
    <t>Селемджинский муниципальный район</t>
  </si>
  <si>
    <t>10645000</t>
  </si>
  <si>
    <t>Златоустовский сельсовет</t>
  </si>
  <si>
    <t>10645402</t>
  </si>
  <si>
    <t>122</t>
  </si>
  <si>
    <t>10645404</t>
  </si>
  <si>
    <t>123</t>
  </si>
  <si>
    <t>Исинское</t>
  </si>
  <si>
    <t>10645405</t>
  </si>
  <si>
    <t>124</t>
  </si>
  <si>
    <t>Коболдинский сельсовет</t>
  </si>
  <si>
    <t>10645410</t>
  </si>
  <si>
    <t>125</t>
  </si>
  <si>
    <t>Межселенные территории Селемджинского муниципального района, кроме территорий городских и сельских поселений</t>
  </si>
  <si>
    <t>10645702</t>
  </si>
  <si>
    <t>126</t>
  </si>
  <si>
    <t>Норское</t>
  </si>
  <si>
    <t>10645408</t>
  </si>
  <si>
    <t>127</t>
  </si>
  <si>
    <t>Огоджинский сельсовет</t>
  </si>
  <si>
    <t>10645418</t>
  </si>
  <si>
    <t>128</t>
  </si>
  <si>
    <t>Поселок Токур</t>
  </si>
  <si>
    <t>10645185</t>
  </si>
  <si>
    <t>129</t>
  </si>
  <si>
    <t>Поселок Февральск</t>
  </si>
  <si>
    <t>10645189</t>
  </si>
  <si>
    <t>130</t>
  </si>
  <si>
    <t>Поселок Экимчан</t>
  </si>
  <si>
    <t>10645151</t>
  </si>
  <si>
    <t>131</t>
  </si>
  <si>
    <t>132</t>
  </si>
  <si>
    <t>Стойбинский сельсовет</t>
  </si>
  <si>
    <t>10645403</t>
  </si>
  <si>
    <t>133</t>
  </si>
  <si>
    <t>Серышевский муниципальный округ</t>
  </si>
  <si>
    <t>10547000</t>
  </si>
  <si>
    <t>134</t>
  </si>
  <si>
    <t>Сковородинский муниципальный округ</t>
  </si>
  <si>
    <t>10549000</t>
  </si>
  <si>
    <t>135</t>
  </si>
  <si>
    <t>Тамбовский муниципальный округ</t>
  </si>
  <si>
    <t>10551000</t>
  </si>
  <si>
    <t>136</t>
  </si>
  <si>
    <t>Тындинский муниципальный округ</t>
  </si>
  <si>
    <t>10554000</t>
  </si>
  <si>
    <t>137</t>
  </si>
  <si>
    <t>Шимановский муниципальный округ</t>
  </si>
  <si>
    <t>10555000</t>
  </si>
  <si>
    <t>138</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</si>
  <si>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</si>
  <si>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</si>
  <si>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</si>
  <si>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</si>
  <si>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</si>
  <si>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</si>
  <si>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</si>
  <si>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</si>
  <si>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</si>
  <si>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</si>
  <si>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</si>
  <si>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</si>
  <si>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</si>
  <si>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ID_TARIFF_NAME</t>
  </si>
  <si>
    <t>TARIFF_NAME</t>
  </si>
  <si>
    <t>VED_NAME</t>
  </si>
  <si>
    <t>4190065</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</si>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</sst>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59" formatCode="000000"/>
    <numFmt numFmtId="260" formatCode="#,##0.000"/>
    <numFmt numFmtId="261" formatCode="#,##0.0000"/>
    <numFmt numFmtId="262" formatCode="dd\.mm\.yyyy"/>
    <numFmt numFmtId="263" formatCode="h:mm;@"/>
    <numFmt numFmtId="264" formatCode="_-* #,##0.00\ _₽_-;\-* #,##0.00\ _₽_-;_-* &quot;-&quot;??\ _₽_-;_-@_-"/>
    <numFmt numFmtId="265" formatCode="_-* #,##0\ _₽_-;\-* #,##0\ _₽_-;_-* &quot;-&quot;\ _₽_-;_-@_-"/>
    <numFmt numFmtId="266" formatCode="_-* #,##0.00\ &quot;₽&quot;_-;\-* #,##0.00\ &quot;₽&quot;_-;_-* &quot;-&quot;??\ &quot;₽&quot;_-;_-@_-"/>
    <numFmt numFmtId="267" formatCode="_-* #,##0\ &quot;₽&quot;_-;\-* #,##0\ &quot;₽&quot;_-;_-* &quot;-&quot;\ &quot;₽&quot;_-;_-@_-"/>
    <numFmt numFmtId="268" formatCode="_-* #,##0.00[$€-1]_-;\-* #,##0.00[$€-1]_-;_-* &quot;-&quot;??[$€-1]_-"/>
    <numFmt numFmtId="269"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64" fontId="6" fillId="0" borderId="0" applyFont="0" applyFill="0" applyBorder="0" applyNumberFormat="1">
      <alignment vertical="top"/>
    </xf>
    <xf numFmtId="265" fontId="6" fillId="0" borderId="0" applyFont="0" applyFill="0" applyBorder="0" applyNumberFormat="1">
      <alignment vertical="top"/>
    </xf>
    <xf numFmtId="266" fontId="6" fillId="0" borderId="0" applyFont="0" applyFill="0" applyBorder="0" applyNumberFormat="1">
      <alignment vertical="top"/>
    </xf>
    <xf numFmtId="26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68" fontId="20" fillId="0" borderId="0" applyFont="1" applyFill="0" applyBorder="0" applyNumberFormat="1"/>
    <xf numFmtId="38" fontId="21" fillId="0" borderId="0" applyFont="1" applyFill="0" applyBorder="0" applyNumberFormat="1">
      <alignment vertical="top"/>
    </xf>
    <xf numFmtId="269" fontId="22" fillId="33" borderId="0" applyFont="1" applyFill="1" applyBorder="0" applyNumberFormat="1">
      <protection locked="0"/>
    </xf>
    <xf numFmtId="0" fontId="23" fillId="0" borderId="0" applyFont="1" applyFill="0" applyBorder="0">
      <alignment vertical="center"/>
    </xf>
    <xf numFmtId="260" fontId="22" fillId="33" borderId="0" applyFont="1" applyFill="1" applyBorder="0" applyNumberFormat="1">
      <protection locked="0"/>
    </xf>
    <xf numFmtId="26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7808">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64" fontId="6" fillId="0" borderId="0" xfId="28" applyNumberFormat="1">
      <alignment vertical="top"/>
    </xf>
    <xf numFmtId="265" fontId="6" fillId="0" borderId="0" xfId="29" applyNumberFormat="1">
      <alignment vertical="top"/>
    </xf>
    <xf numFmtId="266" fontId="6" fillId="0" borderId="0" xfId="30" applyNumberFormat="1">
      <alignment vertical="top"/>
    </xf>
    <xf numFmtId="267"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68" fontId="20" fillId="0" borderId="0" xfId="49" applyFont="1" applyNumberFormat="1"/>
    <xf numFmtId="38" fontId="21" fillId="0" borderId="0" xfId="50" applyFont="1" applyNumberFormat="1">
      <alignment vertical="top"/>
    </xf>
    <xf numFmtId="269" fontId="22" fillId="33" borderId="0" xfId="51" applyFont="1" applyFill="1" applyNumberFormat="1">
      <protection locked="0"/>
    </xf>
    <xf numFmtId="0" fontId="23" fillId="0" borderId="0" xfId="52" applyFont="1">
      <alignment vertical="center"/>
    </xf>
    <xf numFmtId="260" fontId="22" fillId="33" borderId="0" xfId="53" applyFont="1" applyFill="1" applyNumberFormat="1">
      <protection locked="0"/>
    </xf>
    <xf numFmtId="26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59"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6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61"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61"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61"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59"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61"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26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60"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60"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0"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60"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59"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59"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59"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62" fontId="0"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262" fontId="48" fillId="0" borderId="0" xfId="0" applyFont="1" applyNumberFormat="1">
      <alignment horizontal="center" vertical="center" wrapText="1"/>
    </xf>
    <xf numFmtId="262" fontId="48" fillId="0" borderId="12" xfId="0" applyFont="1" applyBorder="1" applyNumberFormat="1">
      <alignment horizontal="center" vertical="center" wrapText="1"/>
    </xf>
    <xf numFmtId="262" fontId="0" fillId="39" borderId="12"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62" fontId="0" fillId="39" borderId="14" xfId="0" applyFont="1" applyFill="1" applyBorder="1" applyNumberFormat="1">
      <alignment horizontal="left" vertical="center" wrapText="1"/>
      <protection locked="0"/>
    </xf>
    <xf numFmtId="26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59"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59"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263" fontId="22" fillId="39" borderId="12" xfId="0" applyFont="1" applyFill="1" applyBorder="1" applyNumberFormat="1">
      <alignment horizontal="left" vertical="center" wrapText="1" indent="1"/>
      <protection locked="0"/>
    </xf>
    <xf numFmtId="26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62"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62" fontId="22" fillId="34"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6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59" fontId="22" fillId="0" borderId="17"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259"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6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62"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3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3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3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3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3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32"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0" fontId="32"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9FCA57-28B4-E9F9-ABAF-992A0DAE65B2}"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4536" width="5.421875" customWidth="1"/>
    <col min="2" max="2" style="34536" width="9.140625" customWidth="1"/>
    <col min="3" max="3" style="34536" width="16.421875" customWidth="1"/>
    <col min="4" max="25" style="34536" width="6.28125" customWidth="1"/>
    <col min="26" max="28" style="34536" width="11.00390625"/>
  </cols>
  <sheetData>
    <row customHeight="1" ht="15.75">
      <c r="A1" s="2326"/>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8"/>
      <c r="Z1" s="2327"/>
      <c r="AA1" s="2329" t="s">
        <v>0</v>
      </c>
      <c r="AB1" s="2327"/>
    </row>
    <row customHeight="1" ht="17.25">
      <c r="A2" s="2327"/>
      <c r="B2" s="2703" t="s">
        <v>1</v>
      </c>
      <c r="C2" s="2703"/>
      <c r="D2" s="2703"/>
      <c r="E2" s="2703"/>
      <c r="F2" s="2703"/>
      <c r="G2" s="2703"/>
      <c r="H2" s="2703"/>
      <c r="I2" s="2703"/>
      <c r="J2" s="2703"/>
      <c r="K2" s="2703"/>
      <c r="L2" s="2703"/>
      <c r="M2" s="2703"/>
      <c r="N2" s="2703"/>
      <c r="O2" s="2703"/>
      <c r="P2" s="2703"/>
      <c r="Q2" s="2331"/>
      <c r="R2" s="2331"/>
      <c r="S2" s="2331"/>
      <c r="T2" s="2331"/>
      <c r="U2" s="2331"/>
      <c r="V2" s="2332"/>
      <c r="W2" s="2331"/>
      <c r="X2" s="2331"/>
      <c r="Y2" s="2328"/>
      <c r="Z2" s="2327"/>
      <c r="AA2" s="2329"/>
      <c r="AB2" s="2327"/>
    </row>
    <row customHeight="1" ht="15.75">
      <c r="A3" s="2327"/>
      <c r="B3" s="2704" t="s">
        <v>2</v>
      </c>
      <c r="C3" s="2704"/>
      <c r="D3" s="2704"/>
      <c r="E3" s="2704"/>
      <c r="F3" s="2704"/>
      <c r="G3" s="2704"/>
      <c r="H3" s="2704"/>
      <c r="I3" s="2704"/>
      <c r="J3" s="2704"/>
      <c r="K3" s="2704"/>
      <c r="L3" s="2704"/>
      <c r="M3" s="2704"/>
      <c r="N3" s="2704"/>
      <c r="O3" s="2704"/>
      <c r="P3" s="2704"/>
      <c r="Q3" s="2332"/>
      <c r="R3" s="2332"/>
      <c r="S3" s="2331"/>
      <c r="T3" s="2331"/>
      <c r="U3" s="2331"/>
      <c r="V3" s="2332"/>
      <c r="W3" s="2332"/>
      <c r="X3" s="2332"/>
      <c r="Y3" s="2332"/>
      <c r="Z3" s="2327"/>
      <c r="AA3" s="2329"/>
      <c r="AB3" s="2327"/>
    </row>
    <row customHeight="1" ht="17.25">
      <c r="A4" s="2327"/>
      <c r="B4" s="2333"/>
      <c r="C4" s="2327"/>
      <c r="D4" s="2332"/>
      <c r="E4" s="2332"/>
      <c r="F4" s="2332"/>
      <c r="G4" s="2332"/>
      <c r="H4" s="2332"/>
      <c r="I4" s="2332"/>
      <c r="J4" s="2332"/>
      <c r="K4" s="2332"/>
      <c r="L4" s="2332"/>
      <c r="M4" s="2332"/>
      <c r="N4" s="2332"/>
      <c r="O4" s="2332"/>
      <c r="P4" s="2332"/>
      <c r="Q4" s="2332"/>
      <c r="R4" s="2332"/>
      <c r="S4" s="2332"/>
      <c r="T4" s="2332"/>
      <c r="U4" s="2332"/>
      <c r="V4" s="2332"/>
      <c r="W4" s="2332"/>
      <c r="X4" s="2332"/>
      <c r="Y4" s="2332"/>
      <c r="Z4" s="2327"/>
      <c r="AA4" s="2329"/>
      <c r="AB4" s="2327"/>
    </row>
    <row customHeight="1" ht="22.5">
      <c r="A5" s="2334"/>
      <c r="B5" s="270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706"/>
      <c r="D5" s="2706"/>
      <c r="E5" s="2706"/>
      <c r="F5" s="2706"/>
      <c r="G5" s="2706"/>
      <c r="H5" s="2706"/>
      <c r="I5" s="2706"/>
      <c r="J5" s="2706"/>
      <c r="K5" s="2706"/>
      <c r="L5" s="2706"/>
      <c r="M5" s="2706"/>
      <c r="N5" s="2706"/>
      <c r="O5" s="2706"/>
      <c r="P5" s="2706"/>
      <c r="Q5" s="2706"/>
      <c r="R5" s="2706"/>
      <c r="S5" s="2706"/>
      <c r="T5" s="2706"/>
      <c r="U5" s="2706"/>
      <c r="V5" s="2706"/>
      <c r="W5" s="2706"/>
      <c r="X5" s="2706"/>
      <c r="Y5" s="2707"/>
      <c r="Z5" s="2334"/>
      <c r="AA5" s="2329"/>
      <c r="AB5" s="2334"/>
    </row>
    <row customHeight="1" ht="15">
      <c r="A6" s="2335"/>
      <c r="B6" s="2708" t="s">
        <v>3</v>
      </c>
      <c r="C6" s="2709"/>
      <c r="D6" s="2336"/>
      <c r="E6" s="2336"/>
      <c r="F6" s="2336"/>
      <c r="G6" s="2336"/>
      <c r="H6" s="2336"/>
      <c r="I6" s="2336"/>
      <c r="J6" s="2336"/>
      <c r="K6" s="2336"/>
      <c r="L6" s="2336"/>
      <c r="M6" s="2336"/>
      <c r="N6" s="2336"/>
      <c r="O6" s="2336"/>
      <c r="P6" s="2336"/>
      <c r="Q6" s="2336"/>
      <c r="R6" s="2336"/>
      <c r="S6" s="2336"/>
      <c r="T6" s="2336"/>
      <c r="U6" s="2336"/>
      <c r="V6" s="2336"/>
      <c r="W6" s="2336"/>
      <c r="X6" s="2336"/>
      <c r="Y6" s="2337"/>
      <c r="Z6" s="2338"/>
      <c r="AA6" s="2339"/>
      <c r="AB6" s="2339"/>
    </row>
    <row customHeight="1" ht="15">
      <c r="A7" s="2335"/>
      <c r="B7" s="2708"/>
      <c r="C7" s="2709"/>
      <c r="D7" s="2336"/>
      <c r="E7" s="2336"/>
      <c r="F7" s="2340"/>
      <c r="G7" s="2340"/>
      <c r="H7" s="2340"/>
      <c r="I7" s="2340"/>
      <c r="J7" s="2340"/>
      <c r="K7" s="2340"/>
      <c r="L7" s="2340"/>
      <c r="M7" s="2340"/>
      <c r="N7" s="2340"/>
      <c r="O7" s="2336"/>
      <c r="P7" s="2340"/>
      <c r="Q7" s="2340"/>
      <c r="R7" s="2340"/>
      <c r="S7" s="2340"/>
      <c r="T7" s="2340"/>
      <c r="U7" s="2340"/>
      <c r="V7" s="2340"/>
      <c r="W7" s="2340"/>
      <c r="X7" s="2340"/>
      <c r="Y7" s="2337"/>
      <c r="Z7" s="2338"/>
      <c r="AA7" s="2339"/>
      <c r="AB7" s="2339"/>
    </row>
    <row customHeight="1" ht="15">
      <c r="A8" s="2335"/>
      <c r="B8" s="2708"/>
      <c r="C8" s="2709"/>
      <c r="D8" s="2341"/>
      <c r="E8" s="2342" t="s">
        <v>4</v>
      </c>
      <c r="F8" s="2711" t="s">
        <v>5</v>
      </c>
      <c r="G8" s="2712"/>
      <c r="H8" s="2712"/>
      <c r="I8" s="2712"/>
      <c r="J8" s="2712"/>
      <c r="K8" s="2712"/>
      <c r="L8" s="2712"/>
      <c r="M8" s="2712"/>
      <c r="N8" s="2341"/>
      <c r="O8" s="2343" t="s">
        <v>4</v>
      </c>
      <c r="P8" s="2713" t="s">
        <v>6</v>
      </c>
      <c r="Q8" s="2714"/>
      <c r="R8" s="2714"/>
      <c r="S8" s="2714"/>
      <c r="T8" s="2714"/>
      <c r="U8" s="2714"/>
      <c r="V8" s="2714"/>
      <c r="W8" s="2714"/>
      <c r="X8" s="2714"/>
      <c r="Y8" s="2337"/>
      <c r="Z8" s="2338"/>
      <c r="AA8" s="2339"/>
      <c r="AB8" s="2339"/>
    </row>
    <row customHeight="1" ht="15">
      <c r="A9" s="2335"/>
      <c r="B9" s="2708"/>
      <c r="C9" s="2709"/>
      <c r="D9" s="2341"/>
      <c r="E9" s="2344" t="s">
        <v>4</v>
      </c>
      <c r="F9" s="2711" t="s">
        <v>7</v>
      </c>
      <c r="G9" s="2712"/>
      <c r="H9" s="2712"/>
      <c r="I9" s="2712"/>
      <c r="J9" s="2712"/>
      <c r="K9" s="2712"/>
      <c r="L9" s="2712"/>
      <c r="M9" s="2712"/>
      <c r="N9" s="2341"/>
      <c r="O9" s="2345" t="s">
        <v>4</v>
      </c>
      <c r="P9" s="2713" t="s">
        <v>8</v>
      </c>
      <c r="Q9" s="2714"/>
      <c r="R9" s="2714"/>
      <c r="S9" s="2714"/>
      <c r="T9" s="2714"/>
      <c r="U9" s="2714"/>
      <c r="V9" s="2714"/>
      <c r="W9" s="2714"/>
      <c r="X9" s="2714"/>
      <c r="Y9" s="2337"/>
      <c r="Z9" s="2338"/>
      <c r="AA9" s="2339"/>
      <c r="AB9" s="2339"/>
    </row>
    <row customHeight="1" ht="30">
      <c r="A10" s="2335"/>
      <c r="B10" s="2708"/>
      <c r="C10" s="2710"/>
      <c r="D10" s="2346"/>
      <c r="E10" s="2347"/>
      <c r="F10" s="2340"/>
      <c r="G10" s="2340"/>
      <c r="H10" s="2340"/>
      <c r="I10" s="2340"/>
      <c r="J10" s="2340"/>
      <c r="K10" s="2340"/>
      <c r="L10" s="2340"/>
      <c r="M10" s="2340"/>
      <c r="N10" s="2340"/>
      <c r="O10" s="2347"/>
      <c r="P10" s="2340"/>
      <c r="Q10" s="2340"/>
      <c r="R10" s="2340"/>
      <c r="S10" s="2340"/>
      <c r="T10" s="2340"/>
      <c r="U10" s="2340"/>
      <c r="V10" s="2340"/>
      <c r="W10" s="2340"/>
      <c r="X10" s="2340"/>
      <c r="Y10" s="2337"/>
      <c r="Z10" s="2338"/>
      <c r="AA10" s="2339"/>
      <c r="AB10" s="2339"/>
    </row>
    <row customHeight="1" ht="19.5">
      <c r="A11" s="2335"/>
      <c r="B11" s="2715" t="s">
        <v>9</v>
      </c>
      <c r="C11" s="2716"/>
      <c r="D11" s="2341"/>
      <c r="E11" s="2348"/>
      <c r="F11" s="2348"/>
      <c r="G11" s="2348"/>
      <c r="H11" s="2348"/>
      <c r="I11" s="2348"/>
      <c r="J11" s="2348"/>
      <c r="K11" s="2348"/>
      <c r="L11" s="2348"/>
      <c r="M11" s="2348"/>
      <c r="N11" s="2348"/>
      <c r="O11" s="2348"/>
      <c r="P11" s="2348"/>
      <c r="Q11" s="2348"/>
      <c r="R11" s="2348"/>
      <c r="S11" s="2348"/>
      <c r="T11" s="2348"/>
      <c r="U11" s="2348"/>
      <c r="V11" s="2348"/>
      <c r="W11" s="2348"/>
      <c r="X11" s="2348"/>
      <c r="Y11" s="2337"/>
      <c r="Z11" s="2338"/>
      <c r="AA11" s="2339"/>
      <c r="AB11" s="2339"/>
    </row>
    <row customHeight="1" ht="69">
      <c r="A12" s="2335"/>
      <c r="B12" s="2708"/>
      <c r="C12" s="2710"/>
      <c r="D12" s="2349"/>
      <c r="E12" s="2712" t="s">
        <v>10</v>
      </c>
      <c r="F12" s="2712"/>
      <c r="G12" s="2712"/>
      <c r="H12" s="2712"/>
      <c r="I12" s="2712"/>
      <c r="J12" s="2712"/>
      <c r="K12" s="2712"/>
      <c r="L12" s="2712"/>
      <c r="M12" s="2712"/>
      <c r="N12" s="2712"/>
      <c r="O12" s="2712"/>
      <c r="P12" s="2712"/>
      <c r="Q12" s="2712"/>
      <c r="R12" s="2712"/>
      <c r="S12" s="2712"/>
      <c r="T12" s="2712"/>
      <c r="U12" s="2712"/>
      <c r="V12" s="2712"/>
      <c r="W12" s="2712"/>
      <c r="X12" s="2712"/>
      <c r="Y12" s="2337"/>
      <c r="Z12" s="2338"/>
      <c r="AA12" s="2339"/>
      <c r="AB12" s="2339"/>
    </row>
    <row customHeight="1" ht="15">
      <c r="A13" s="2335"/>
      <c r="B13" s="2715" t="s">
        <v>11</v>
      </c>
      <c r="C13" s="2716"/>
      <c r="D13" s="2336"/>
      <c r="E13" s="2348"/>
      <c r="F13" s="2348"/>
      <c r="G13" s="2348"/>
      <c r="H13" s="2348"/>
      <c r="I13" s="2348"/>
      <c r="J13" s="2348"/>
      <c r="K13" s="2348"/>
      <c r="L13" s="2348"/>
      <c r="M13" s="2348"/>
      <c r="N13" s="2348"/>
      <c r="O13" s="2348"/>
      <c r="P13" s="2348"/>
      <c r="Q13" s="2348"/>
      <c r="R13" s="2348"/>
      <c r="S13" s="2348"/>
      <c r="T13" s="2348"/>
      <c r="U13" s="2348"/>
      <c r="V13" s="2348"/>
      <c r="W13" s="2348"/>
      <c r="X13" s="2348"/>
      <c r="Y13" s="2337"/>
      <c r="Z13" s="2338"/>
      <c r="AA13" s="2339"/>
      <c r="AB13" s="2339"/>
    </row>
    <row customHeight="1" ht="57">
      <c r="A14" s="2335"/>
      <c r="B14" s="2708"/>
      <c r="C14" s="2709"/>
      <c r="D14" s="2341"/>
      <c r="E14" s="2719" t="s">
        <v>12</v>
      </c>
      <c r="F14" s="2719"/>
      <c r="G14" s="2719"/>
      <c r="H14" s="2719"/>
      <c r="I14" s="2719"/>
      <c r="J14" s="2719"/>
      <c r="K14" s="2719"/>
      <c r="L14" s="2719"/>
      <c r="M14" s="2719"/>
      <c r="N14" s="2719"/>
      <c r="O14" s="2719"/>
      <c r="P14" s="2719"/>
      <c r="Q14" s="2719"/>
      <c r="R14" s="2719"/>
      <c r="S14" s="2719"/>
      <c r="T14" s="2719"/>
      <c r="U14" s="2719"/>
      <c r="V14" s="2719"/>
      <c r="W14" s="2719"/>
      <c r="X14" s="2719"/>
      <c r="Y14" s="2337"/>
      <c r="Z14" s="2338"/>
      <c r="AA14" s="2339"/>
      <c r="AB14" s="2339"/>
    </row>
    <row customHeight="1" ht="16.5">
      <c r="A15" s="2335"/>
      <c r="B15" s="2717"/>
      <c r="C15" s="2718"/>
      <c r="D15" s="2350"/>
      <c r="E15" s="2351"/>
      <c r="F15" s="2351"/>
      <c r="G15" s="2351"/>
      <c r="H15" s="2351"/>
      <c r="I15" s="2351"/>
      <c r="J15" s="2351"/>
      <c r="K15" s="2351"/>
      <c r="L15" s="2351"/>
      <c r="M15" s="2351"/>
      <c r="N15" s="2351"/>
      <c r="O15" s="2351"/>
      <c r="P15" s="2351"/>
      <c r="Q15" s="2351"/>
      <c r="R15" s="2351"/>
      <c r="S15" s="2351"/>
      <c r="T15" s="2351"/>
      <c r="U15" s="2351"/>
      <c r="V15" s="2351"/>
      <c r="W15" s="2351"/>
      <c r="X15" s="2351"/>
      <c r="Y15" s="2352"/>
      <c r="Z15" s="2338"/>
      <c r="AA15" s="2353"/>
      <c r="AB15" s="2339"/>
    </row>
    <row customHeight="1" ht="95.25">
      <c r="A16" s="2327"/>
      <c r="B16" s="2719"/>
      <c r="C16" s="2720"/>
      <c r="D16" s="2720"/>
      <c r="E16" s="2720"/>
      <c r="F16" s="2720"/>
      <c r="G16" s="2720"/>
      <c r="H16" s="2720"/>
      <c r="I16" s="2720"/>
      <c r="J16" s="2720"/>
      <c r="K16" s="2720"/>
      <c r="L16" s="2720"/>
      <c r="M16" s="2720"/>
      <c r="N16" s="2720"/>
      <c r="O16" s="2720"/>
      <c r="P16" s="2720"/>
      <c r="Q16" s="2720"/>
      <c r="R16" s="2720"/>
      <c r="S16" s="2720"/>
      <c r="T16" s="2720"/>
      <c r="U16" s="2720"/>
      <c r="V16" s="2720"/>
      <c r="W16" s="2720"/>
      <c r="X16" s="2720"/>
      <c r="Y16" s="2720"/>
      <c r="Z16" s="2327"/>
      <c r="AA16" s="2329"/>
      <c r="AB16" s="2327"/>
    </row>
    <row customHeight="1" ht="14.25">
      <c r="A17" s="2327"/>
      <c r="B17" s="2327"/>
      <c r="C17" s="2327"/>
      <c r="D17" s="2327"/>
      <c r="E17" s="2327"/>
      <c r="F17" s="2327"/>
      <c r="G17" s="2327"/>
      <c r="H17" s="2327"/>
      <c r="I17" s="2327"/>
      <c r="J17" s="2327"/>
      <c r="K17" s="2327"/>
      <c r="L17" s="2327"/>
      <c r="M17" s="2327"/>
      <c r="N17" s="2327"/>
      <c r="O17" s="2327"/>
      <c r="P17" s="2327"/>
      <c r="Q17" s="2327"/>
      <c r="R17" s="2327"/>
      <c r="S17" s="2327"/>
      <c r="T17" s="2327"/>
      <c r="U17" s="2327"/>
      <c r="V17" s="2327"/>
      <c r="W17" s="2327"/>
      <c r="X17" s="2327"/>
      <c r="Y17" s="2328"/>
      <c r="Z17" s="2327"/>
      <c r="AA17" s="2329"/>
      <c r="AB17" s="2327"/>
    </row>
    <row customHeight="1" ht="14.25">
      <c r="A18" s="2327"/>
      <c r="B18" s="2327"/>
      <c r="C18" s="2327"/>
      <c r="D18" s="2327"/>
      <c r="E18" s="2327"/>
      <c r="F18" s="2327"/>
      <c r="G18" s="2327"/>
      <c r="H18" s="2327"/>
      <c r="I18" s="2327"/>
      <c r="J18" s="2327"/>
      <c r="K18" s="2327"/>
      <c r="L18" s="2327"/>
      <c r="M18" s="2327"/>
      <c r="N18" s="2327"/>
      <c r="O18" s="2327"/>
      <c r="P18" s="2327"/>
      <c r="Q18" s="2327"/>
      <c r="R18" s="2327"/>
      <c r="S18" s="2327"/>
      <c r="T18" s="2327"/>
      <c r="U18" s="2327"/>
      <c r="V18" s="2327"/>
      <c r="W18" s="2327"/>
      <c r="X18" s="2327"/>
      <c r="Y18" s="2328"/>
      <c r="Z18" s="2327"/>
      <c r="AA18" s="2329"/>
      <c r="AB18" s="2327"/>
    </row>
    <row customHeight="1" ht="14.25">
      <c r="A19" s="2327"/>
      <c r="B19" s="2327"/>
      <c r="C19" s="2327"/>
      <c r="D19" s="2327"/>
      <c r="E19" s="2327"/>
      <c r="F19" s="2327"/>
      <c r="G19" s="2327"/>
      <c r="H19" s="2327"/>
      <c r="I19" s="2327"/>
      <c r="J19" s="2327"/>
      <c r="K19" s="2327"/>
      <c r="L19" s="2327"/>
      <c r="M19" s="2327"/>
      <c r="N19" s="2327"/>
      <c r="O19" s="2327"/>
      <c r="P19" s="2327"/>
      <c r="Q19" s="2327"/>
      <c r="R19" s="2327"/>
      <c r="S19" s="2327"/>
      <c r="T19" s="2327"/>
      <c r="U19" s="2327"/>
      <c r="V19" s="2327"/>
      <c r="W19" s="2327"/>
      <c r="X19" s="2327"/>
      <c r="Y19" s="2328"/>
      <c r="Z19" s="2327"/>
      <c r="AA19" s="2329"/>
      <c r="AB19" s="2327"/>
    </row>
    <row customHeight="1" ht="14.25">
      <c r="A20" s="2327"/>
      <c r="B20" s="2327"/>
      <c r="C20" s="2327"/>
      <c r="D20" s="2327"/>
      <c r="E20" s="2327"/>
      <c r="F20" s="2327"/>
      <c r="G20" s="2327"/>
      <c r="H20" s="2327"/>
      <c r="I20" s="2327"/>
      <c r="J20" s="2327"/>
      <c r="K20" s="2327"/>
      <c r="L20" s="2327"/>
      <c r="M20" s="2327"/>
      <c r="N20" s="2327"/>
      <c r="O20" s="2327"/>
      <c r="P20" s="2327"/>
      <c r="Q20" s="2327"/>
      <c r="R20" s="2327"/>
      <c r="S20" s="2327"/>
      <c r="T20" s="2327"/>
      <c r="U20" s="2327"/>
      <c r="V20" s="2327"/>
      <c r="W20" s="2327"/>
      <c r="X20" s="2327"/>
      <c r="Y20" s="2328"/>
      <c r="Z20" s="2327"/>
      <c r="AA20" s="2329"/>
      <c r="AB20" s="2327"/>
    </row>
    <row customHeight="1" ht="14.25">
      <c r="A21" s="2327"/>
      <c r="B21" s="2327"/>
      <c r="C21" s="2327"/>
      <c r="D21" s="2327"/>
      <c r="E21" s="2327"/>
      <c r="F21" s="2327"/>
      <c r="G21" s="2327"/>
      <c r="H21" s="2327"/>
      <c r="I21" s="2327"/>
      <c r="J21" s="2327"/>
      <c r="K21" s="2327"/>
      <c r="L21" s="2327"/>
      <c r="M21" s="2327"/>
      <c r="N21" s="2327"/>
      <c r="O21" s="2327"/>
      <c r="P21" s="2327"/>
      <c r="Q21" s="2327"/>
      <c r="R21" s="2327"/>
      <c r="S21" s="2327"/>
      <c r="T21" s="2327"/>
      <c r="U21" s="2327"/>
      <c r="V21" s="2327"/>
      <c r="W21" s="2327"/>
      <c r="X21" s="2327"/>
      <c r="Y21" s="2328"/>
      <c r="Z21" s="2327"/>
      <c r="AA21" s="2329"/>
      <c r="AB21" s="2327"/>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85503E-B50D-9FE4-8992-2A74FFA3A53C}"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34544" width="9.140625" hidden="1" customWidth="1"/>
    <col min="2" max="3" style="34580" width="9.140625" hidden="1" customWidth="1"/>
    <col min="4" max="4" style="34756" width="3.00390625" customWidth="1"/>
    <col min="5" max="5" style="34580" width="6.00390625" customWidth="1"/>
    <col min="6" max="6" style="34580" width="1.7109375" hidden="1" customWidth="1"/>
    <col min="7" max="8" style="34580" width="30.00390625" customWidth="1"/>
    <col min="9" max="9" style="34580" width="8.00390625" customWidth="1"/>
    <col min="10" max="10" style="34580" width="12.140625" customWidth="1"/>
    <col min="11" max="11" style="34580" width="46.00390625" customWidth="1"/>
    <col min="12" max="12" style="34580" width="100.00390625" customWidth="1"/>
    <col min="13" max="13" style="34673" width="7.00390625" customWidth="1"/>
    <col min="14" max="22" style="34580" width="10.00390625" customWidth="1"/>
    <col min="23" max="23" style="34580" width="10.57421875" hidden="1"/>
  </cols>
  <sheetData>
    <row s="34658" customFormat="1" customHeight="1" ht="5.25" hidden="1">
      <c r="C1" s="1137"/>
      <c r="D1" s="1120"/>
      <c r="F1" s="1137"/>
      <c r="G1" s="1115" t="s">
        <v>83</v>
      </c>
      <c r="H1" s="1115" t="s">
        <v>84</v>
      </c>
      <c r="I1" s="1115" t="s">
        <v>85</v>
      </c>
      <c r="P1" s="1115" t="s">
        <v>83</v>
      </c>
      <c r="Q1" s="1115" t="s">
        <v>84</v>
      </c>
      <c r="R1" s="1115" t="s">
        <v>85</v>
      </c>
      <c r="W1" s="1115" t="s">
        <v>14</v>
      </c>
    </row>
    <row s="34658" customFormat="1" customHeight="1" ht="5.25" hidden="1">
      <c r="C2" s="1137"/>
      <c r="D2" s="1120"/>
      <c r="F2" s="1137"/>
      <c r="W2" s="1115">
        <v>0</v>
      </c>
    </row>
    <row s="34555" customFormat="1" customHeight="1" ht="5.25">
      <c r="A3" s="1105"/>
      <c r="D3" s="1112"/>
      <c r="E3" s="1107"/>
      <c r="F3" s="1107"/>
      <c r="G3" s="1107"/>
      <c r="H3" s="1107"/>
      <c r="I3" s="1108"/>
      <c r="J3" s="1109"/>
      <c r="K3" s="1109"/>
      <c r="L3" s="1109"/>
      <c r="W3" s="1106">
        <v>5</v>
      </c>
    </row>
    <row customHeight="1" ht="23.25">
      <c r="D4" s="1076"/>
      <c r="E4" s="2864" t="s">
        <v>406</v>
      </c>
      <c r="F4" s="2864"/>
      <c r="G4" s="2865"/>
      <c r="H4" s="2865"/>
      <c r="I4" s="2866"/>
      <c r="J4" s="1117"/>
      <c r="K4" s="1079"/>
      <c r="L4" s="1079"/>
      <c r="W4" s="1073">
        <v>22</v>
      </c>
    </row>
    <row s="34580" customFormat="1" customHeight="1" ht="18">
      <c r="A5" s="1385"/>
      <c r="D5" s="1448"/>
      <c r="E5" s="2840" t="str">
        <f>IF(org=0,"Не определено",org)</f>
        <v>АО "ДГК"</v>
      </c>
      <c r="F5" s="2840"/>
      <c r="G5" s="2841"/>
      <c r="H5" s="2841"/>
      <c r="I5" s="2842"/>
      <c r="J5" s="1117"/>
      <c r="K5" s="1079"/>
      <c r="L5" s="1079"/>
      <c r="M5" s="1133"/>
      <c r="W5" s="1384">
        <v>17</v>
      </c>
    </row>
    <row s="34555" customFormat="1" customHeight="1" ht="11.549999999999999">
      <c r="A6" s="1105"/>
      <c r="D6" s="1112"/>
      <c r="E6" s="1107"/>
      <c r="F6" s="1107"/>
      <c r="G6" s="1110"/>
      <c r="H6" s="1110"/>
      <c r="I6" s="1111"/>
      <c r="J6" s="1111"/>
      <c r="K6" s="1378"/>
      <c r="L6" s="1111"/>
      <c r="W6" s="1106">
        <v>11</v>
      </c>
    </row>
    <row customHeight="1" ht="14.699999999999998">
      <c r="D7" s="1076"/>
      <c r="E7" s="2834" t="s">
        <v>318</v>
      </c>
      <c r="F7" s="2834"/>
      <c r="G7" s="2835"/>
      <c r="H7" s="2835"/>
      <c r="I7" s="2835"/>
      <c r="J7" s="2835"/>
      <c r="K7" s="2835"/>
      <c r="L7" s="2849" t="s">
        <v>319</v>
      </c>
      <c r="W7" s="1073">
        <v>14</v>
      </c>
    </row>
    <row customHeight="1" ht="48.29999999999999">
      <c r="D8" s="1076"/>
      <c r="E8" s="1099" t="s">
        <v>88</v>
      </c>
      <c r="F8" s="1449"/>
      <c r="G8" s="1091" t="s">
        <v>86</v>
      </c>
      <c r="H8" s="1091" t="s">
        <v>87</v>
      </c>
      <c r="I8" s="1040" t="s">
        <v>85</v>
      </c>
      <c r="J8" s="1040" t="s">
        <v>407</v>
      </c>
      <c r="K8" s="1040" t="s">
        <v>408</v>
      </c>
      <c r="L8" s="2849"/>
      <c r="W8" s="1073">
        <v>46</v>
      </c>
    </row>
    <row customHeight="1" ht="12" hidden="1">
      <c r="D9" s="1113"/>
      <c r="E9" s="1119"/>
      <c r="F9" s="1456"/>
      <c r="G9" s="1119"/>
      <c r="H9" s="1119"/>
      <c r="I9" s="1119"/>
      <c r="J9" s="1119"/>
      <c r="K9" s="1119"/>
      <c r="L9" s="1119"/>
      <c r="M9" s="1073"/>
      <c r="W9" s="1073">
        <v>0</v>
      </c>
    </row>
    <row customHeight="1" ht="14.25" hidden="1">
      <c r="A10" s="1131"/>
      <c r="B10" s="1131"/>
      <c r="D10" s="1132"/>
      <c r="E10" s="1138">
        <v>0</v>
      </c>
      <c r="F10" s="1447"/>
      <c r="G10" s="1134"/>
      <c r="H10" s="1134"/>
      <c r="I10" s="1134"/>
      <c r="J10" s="1134"/>
      <c r="K10" s="1134"/>
      <c r="L10" s="2847" t="s">
        <v>409</v>
      </c>
      <c r="M10" s="1133"/>
      <c r="N10" s="1131"/>
      <c r="O10" s="1131"/>
      <c r="P10" s="1131"/>
      <c r="Q10" s="1131"/>
      <c r="R10" s="1131"/>
      <c r="S10" s="1131"/>
      <c r="T10" s="1131"/>
      <c r="U10" s="1131"/>
      <c r="V10" s="1131"/>
      <c r="W10" s="1073">
        <v>0</v>
      </c>
    </row>
    <row customHeight="1" ht="15" hidden="1">
      <c r="A11" s="2725"/>
      <c r="B11" s="1130"/>
      <c r="C11" s="1130"/>
      <c r="D11" s="1491"/>
      <c r="E11" s="1139"/>
      <c r="F11" s="1139"/>
      <c r="G11" s="1139"/>
      <c r="H11" s="1139"/>
      <c r="I11" s="1140"/>
      <c r="J11" s="1141"/>
      <c r="K11" s="1339"/>
      <c r="L11" s="2867"/>
      <c r="M11" s="1137"/>
      <c r="N11" s="1137"/>
      <c r="O11" s="1137"/>
      <c r="P11" s="1142"/>
      <c r="Q11" s="1142"/>
      <c r="R11" s="1143"/>
      <c r="S11" s="1137"/>
      <c r="T11" s="1137"/>
      <c r="U11" s="1137"/>
      <c r="V11" s="1137"/>
      <c r="W11" s="1073">
        <v>0</v>
      </c>
    </row>
    <row s="34555" customFormat="1" customHeight="1" ht="15">
      <c r="A12" s="2725"/>
      <c r="B12" s="1130"/>
      <c r="C12" s="1130"/>
      <c r="D12" s="1492"/>
      <c r="E12" s="1449">
        <v>1</v>
      </c>
      <c r="F12" s="1490">
        <v>23</v>
      </c>
      <c r="G12" s="1489"/>
      <c r="H12" s="1419"/>
      <c r="I12" s="1417"/>
      <c r="J12" s="1146" t="s">
        <v>66</v>
      </c>
      <c r="K12" s="1790" t="s">
        <v>22</v>
      </c>
      <c r="L12" s="2867"/>
      <c r="M12" s="1137"/>
      <c r="N12" s="1137"/>
      <c r="O12" s="1137"/>
      <c r="P12" s="1142" t="s">
        <v>410</v>
      </c>
      <c r="Q12" s="1142" t="s">
        <v>411</v>
      </c>
      <c r="R12" s="1143" t="s">
        <v>412</v>
      </c>
      <c r="S12" s="1137" t="s">
        <v>413</v>
      </c>
      <c r="T12" s="1137"/>
      <c r="U12" s="1137"/>
      <c r="V12" s="1137"/>
      <c r="W12" s="1106">
        <v>14</v>
      </c>
    </row>
    <row customHeight="1" ht="15.75">
      <c r="A13" s="2725"/>
      <c r="B13" s="1131"/>
      <c r="D13" s="1132"/>
      <c r="E13" s="1031"/>
      <c r="F13" s="1155"/>
      <c r="G13" s="1042" t="s">
        <v>101</v>
      </c>
      <c r="H13" s="1030"/>
      <c r="I13" s="1030"/>
      <c r="J13" s="1030"/>
      <c r="K13" s="1029"/>
      <c r="L13" s="2848"/>
      <c r="M13" s="1135"/>
      <c r="N13" s="1131"/>
      <c r="O13" s="1131"/>
      <c r="P13" s="1131"/>
      <c r="Q13" s="1131"/>
      <c r="R13" s="1131"/>
      <c r="S13" s="1131"/>
      <c r="T13" s="1131"/>
      <c r="U13" s="1131"/>
      <c r="V13" s="1131"/>
      <c r="W13" s="1073">
        <v>15</v>
      </c>
    </row>
    <row customHeight="1" ht="11.549999999999999">
      <c r="A14" s="1105"/>
      <c r="B14" s="1106"/>
      <c r="C14" s="1106"/>
      <c r="D14" s="1121"/>
      <c r="E14" s="1106"/>
      <c r="F14" s="1106"/>
      <c r="G14" s="1106"/>
      <c r="H14" s="1106"/>
      <c r="I14" s="1106"/>
      <c r="J14" s="1106"/>
      <c r="K14" s="1106"/>
      <c r="L14" s="1106"/>
      <c r="M14" s="1106"/>
      <c r="N14" s="1106"/>
      <c r="O14" s="1106"/>
      <c r="P14" s="1106"/>
      <c r="Q14" s="1106"/>
      <c r="R14" s="1106"/>
      <c r="S14" s="1106"/>
      <c r="T14" s="1106"/>
      <c r="U14" s="1106"/>
      <c r="V14" s="1106"/>
      <c r="W14" s="1073">
        <v>11</v>
      </c>
    </row>
    <row customHeight="1" ht="14.699999999999998">
      <c r="D15" s="1092"/>
      <c r="E15" s="962"/>
      <c r="F15" s="962"/>
      <c r="G15" s="129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092"/>
      <c r="I15" s="1092"/>
      <c r="J15" s="1092"/>
      <c r="K15" s="1092"/>
      <c r="L15" s="1092"/>
      <c r="W15" s="1073">
        <v>14</v>
      </c>
    </row>
    <row customHeight="1" ht="14.699999999999998">
      <c r="W16" s="1073">
        <v>14</v>
      </c>
    </row>
    <row customHeight="1" ht="14.699999999999998">
      <c r="W17" s="1073">
        <v>14</v>
      </c>
    </row>
    <row customHeight="1" ht="14.699999999999998">
      <c r="G18" s="1131"/>
      <c r="W18" s="1073">
        <v>14</v>
      </c>
    </row>
    <row customHeight="1" ht="22.5" hidden="1">
      <c r="A19" s="1075" t="s">
        <v>82</v>
      </c>
      <c r="B19" s="1073">
        <v>0</v>
      </c>
      <c r="C19" s="1384">
        <v>0</v>
      </c>
      <c r="D19" s="1077">
        <v>3</v>
      </c>
      <c r="E19" s="1073">
        <v>6</v>
      </c>
      <c r="F19" s="1384">
        <v>0</v>
      </c>
      <c r="G19" s="1073">
        <v>30</v>
      </c>
      <c r="H19" s="1073">
        <v>30</v>
      </c>
      <c r="I19" s="1073">
        <v>8</v>
      </c>
      <c r="J19" s="1073">
        <v>12</v>
      </c>
      <c r="K19" s="1073">
        <v>46</v>
      </c>
      <c r="L19" s="1073">
        <v>100</v>
      </c>
      <c r="M19" s="1078">
        <v>7</v>
      </c>
      <c r="N19" s="1073">
        <v>10</v>
      </c>
      <c r="O19" s="1073">
        <v>10</v>
      </c>
      <c r="P19" s="1073">
        <v>10</v>
      </c>
      <c r="Q19" s="1073">
        <v>10</v>
      </c>
      <c r="R19" s="1073">
        <v>10</v>
      </c>
      <c r="S19" s="1073">
        <v>10</v>
      </c>
      <c r="T19" s="1073">
        <v>10</v>
      </c>
      <c r="U19" s="1073">
        <v>10</v>
      </c>
      <c r="V19" s="1073">
        <v>10</v>
      </c>
      <c r="W19" s="1073">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DDABEA-12A3-7E41-3966-99A43E82D4F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2.00390625" hidden="1" customWidth="1"/>
    <col min="10" max="10" style="34657" width="9.8515625" hidden="1" customWidth="1"/>
    <col min="11" max="11" style="34657" width="11.4218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5.00390625" customWidth="1"/>
    <col min="21" max="21" style="34580" width="0.140625" customWidth="1"/>
    <col min="22" max="22" style="34580" width="24.7109375" hidden="1" customWidth="1"/>
    <col min="23" max="23" style="34580" width="0.140625" hidden="1" customWidth="1"/>
    <col min="24" max="25" style="34580" width="24.710937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24.7109375" customWidth="1"/>
    <col min="31" max="31" style="34580" width="0.140625" customWidth="1"/>
    <col min="32" max="33" style="34580" width="24.00390625" customWidth="1"/>
    <col min="34" max="34" style="34580" width="11.00390625" customWidth="1"/>
    <col min="35" max="35" style="34580" width="3.7109375" customWidth="1"/>
    <col min="36" max="36" style="34580" width="11.00390625" customWidth="1"/>
    <col min="37" max="37" style="34580" width="8.57421875" hidden="1" customWidth="1"/>
    <col min="38" max="38" style="34580" width="4.00390625" customWidth="1"/>
    <col min="39" max="39" style="34580" width="115.00390625" customWidth="1"/>
    <col min="40" max="44" style="34658" width="10.00390625" customWidth="1"/>
    <col min="45" max="45" style="34580" width="10.57421875" hidden="1"/>
  </cols>
  <sheetData>
    <row customHeight="1" ht="22.5" hidden="1">
      <c r="Y1" s="953"/>
      <c r="Z1" s="953"/>
      <c r="AG1" s="953"/>
      <c r="AH1" s="953"/>
      <c r="AS1" s="1781" t="s">
        <v>14</v>
      </c>
    </row>
    <row customHeight="1" ht="21" hidden="1">
      <c r="A2" s="1989"/>
      <c r="B2" s="1989"/>
      <c r="C2" s="1989"/>
      <c r="D2" s="1989"/>
      <c r="E2" s="2884">
        <v>1</v>
      </c>
      <c r="F2" s="1989"/>
      <c r="G2" s="1989"/>
      <c r="H2" s="1989"/>
      <c r="I2" s="1989"/>
      <c r="J2" s="1989"/>
      <c r="K2" s="1989"/>
      <c r="L2" s="1990"/>
      <c r="M2" s="1991"/>
      <c r="N2" s="1991"/>
      <c r="O2" s="1991"/>
      <c r="P2" s="987"/>
      <c r="Q2" s="986"/>
      <c r="R2" s="981"/>
      <c r="S2" s="1935">
        <f>INDEX(PT_DIFFERENTIATION_NUM_NTAR,MATCH(A2,PT_DIFFERENTIATION_NTAR_ID,0))</f>
      </c>
      <c r="T2" s="924" t="s">
        <v>143</v>
      </c>
      <c r="U2" s="926"/>
      <c r="V2" s="2868"/>
      <c r="W2" s="2869"/>
      <c r="X2" s="2869"/>
      <c r="Y2" s="2869"/>
      <c r="Z2" s="2869"/>
      <c r="AA2" s="2869"/>
      <c r="AB2" s="2869"/>
      <c r="AC2" s="2870"/>
      <c r="AD2" s="2868">
        <f>INDEX(PT_DIFFERENTIATION_NTAR,MATCH(A2,PT_DIFFERENTIATION_NTAR_ID,0))</f>
      </c>
      <c r="AE2" s="2869"/>
      <c r="AF2" s="2869"/>
      <c r="AG2" s="2869"/>
      <c r="AH2" s="2869"/>
      <c r="AI2" s="2869"/>
      <c r="AJ2" s="2869"/>
      <c r="AK2" s="2869"/>
      <c r="AL2" s="2870"/>
      <c r="AM2" s="1884" t="s">
        <v>414</v>
      </c>
      <c r="AO2" s="1126"/>
      <c r="AP2" s="1126" t="str">
        <f>IF(T2="","",T2)</f>
        <v>Наименование тарифа</v>
      </c>
      <c r="AQ2" s="1126"/>
      <c r="AR2" s="1126"/>
      <c r="AS2" s="1781">
        <v>0</v>
      </c>
    </row>
    <row customHeight="1" ht="21" hidden="1">
      <c r="A3" s="1989"/>
      <c r="B3" s="1989"/>
      <c r="C3" s="1989"/>
      <c r="D3" s="1989"/>
      <c r="E3" s="2885"/>
      <c r="F3" s="2884">
        <v>1</v>
      </c>
      <c r="G3" s="1989"/>
      <c r="H3" s="1989"/>
      <c r="I3" s="1989"/>
      <c r="J3" s="1989"/>
      <c r="K3" s="1989"/>
      <c r="L3" s="1990"/>
      <c r="M3" s="1991"/>
      <c r="N3" s="1991"/>
      <c r="O3" s="1991"/>
      <c r="P3" s="1930"/>
      <c r="Q3" s="978"/>
      <c r="R3" s="979"/>
      <c r="S3" s="1935">
        <f>INDEX(PT_DIFFERENTIATION_NUM_TER,MATCH(B3,PT_DIFFERENTIATION_TER_ID,0))</f>
      </c>
      <c r="T3" s="934" t="s">
        <v>415</v>
      </c>
      <c r="U3" s="926"/>
      <c r="V3" s="2868"/>
      <c r="W3" s="2869"/>
      <c r="X3" s="2869"/>
      <c r="Y3" s="2869"/>
      <c r="Z3" s="2869"/>
      <c r="AA3" s="2869"/>
      <c r="AB3" s="2869"/>
      <c r="AC3" s="2870"/>
      <c r="AD3" s="2868">
        <f>INDEX(PT_DIFFERENTIATION_TER,MATCH(B3,PT_DIFFERENTIATION_TER_ID,0))</f>
      </c>
      <c r="AE3" s="2869"/>
      <c r="AF3" s="2869"/>
      <c r="AG3" s="2869"/>
      <c r="AH3" s="2869"/>
      <c r="AI3" s="2869"/>
      <c r="AJ3" s="2869"/>
      <c r="AK3" s="2869"/>
      <c r="AL3" s="2870"/>
      <c r="AM3" s="1884" t="s">
        <v>416</v>
      </c>
      <c r="AO3" s="1126"/>
      <c r="AP3" s="1126" t="str">
        <f>IF(T3="","",T3)</f>
        <v>Территория действия тарифа</v>
      </c>
      <c r="AQ3" s="1126"/>
      <c r="AR3" s="1126"/>
      <c r="AS3" s="1781">
        <v>0</v>
      </c>
    </row>
    <row customHeight="1" ht="23.25" hidden="1">
      <c r="A4" s="1989"/>
      <c r="B4" s="1989"/>
      <c r="C4" s="1989"/>
      <c r="D4" s="1989"/>
      <c r="E4" s="2885"/>
      <c r="F4" s="2885"/>
      <c r="G4" s="2884">
        <v>1</v>
      </c>
      <c r="H4" s="1989"/>
      <c r="I4" s="1989"/>
      <c r="J4" s="1989"/>
      <c r="K4" s="1989"/>
      <c r="L4" s="1990"/>
      <c r="M4" s="1991"/>
      <c r="N4" s="1991"/>
      <c r="O4" s="1991"/>
      <c r="P4" s="980"/>
      <c r="Q4" s="978"/>
      <c r="R4" s="979"/>
      <c r="S4" s="1935">
        <f>INDEX(PT_DIFFERENTIATION_NUM_CS,MATCH(C4,PT_DIFFERENTIATION_CS_ID,0))</f>
      </c>
      <c r="T4" s="935" t="s">
        <v>417</v>
      </c>
      <c r="U4" s="926"/>
      <c r="V4" s="2868"/>
      <c r="W4" s="2869"/>
      <c r="X4" s="2869"/>
      <c r="Y4" s="2869"/>
      <c r="Z4" s="2869"/>
      <c r="AA4" s="2869"/>
      <c r="AB4" s="2869"/>
      <c r="AC4" s="2870"/>
      <c r="AD4" s="2868">
        <f>INDEX(PT_DIFFERENTIATION_CS,MATCH(C4,PT_DIFFERENTIATION_CS_ID,0))</f>
      </c>
      <c r="AE4" s="2869"/>
      <c r="AF4" s="2869"/>
      <c r="AG4" s="2869"/>
      <c r="AH4" s="2869"/>
      <c r="AI4" s="2869"/>
      <c r="AJ4" s="2869"/>
      <c r="AK4" s="2869"/>
      <c r="AL4" s="2870"/>
      <c r="AM4" s="1884" t="s">
        <v>418</v>
      </c>
      <c r="AO4" s="1126"/>
      <c r="AP4" s="1126" t="str">
        <f>IF(T4="","",T4)</f>
        <v>Наименование системы теплоснабжения </v>
      </c>
      <c r="AQ4" s="1126"/>
      <c r="AR4" s="1126"/>
      <c r="AS4" s="1781">
        <v>0</v>
      </c>
    </row>
    <row customHeight="1" ht="21" hidden="1">
      <c r="A5" s="1989"/>
      <c r="B5" s="1989"/>
      <c r="C5" s="1989"/>
      <c r="D5" s="1989"/>
      <c r="E5" s="2885"/>
      <c r="F5" s="2885"/>
      <c r="G5" s="2885"/>
      <c r="H5" s="2884">
        <v>1</v>
      </c>
      <c r="I5" s="1989"/>
      <c r="J5" s="1989"/>
      <c r="K5" s="1989"/>
      <c r="L5" s="1990"/>
      <c r="M5" s="1991"/>
      <c r="N5" s="1991"/>
      <c r="O5" s="1991"/>
      <c r="P5" s="980"/>
      <c r="Q5" s="978"/>
      <c r="R5" s="979"/>
      <c r="S5" s="1935">
        <f>INDEX(PT_DIFFERENTIATION_NUM_IST_TE,MATCH(D5,PT_DIFFERENTIATION_IST_TE_ID,0))</f>
      </c>
      <c r="T5" s="936" t="s">
        <v>419</v>
      </c>
      <c r="U5" s="926"/>
      <c r="V5" s="2868"/>
      <c r="W5" s="2869"/>
      <c r="X5" s="2869"/>
      <c r="Y5" s="2869"/>
      <c r="Z5" s="2869"/>
      <c r="AA5" s="2869"/>
      <c r="AB5" s="2869"/>
      <c r="AC5" s="2870"/>
      <c r="AD5" s="2868">
        <f>INDEX(PT_DIFFERENTIATION_IST_TE,MATCH(D5,PT_DIFFERENTIATION_IST_TE_ID,0))</f>
      </c>
      <c r="AE5" s="2869"/>
      <c r="AF5" s="2869"/>
      <c r="AG5" s="2869"/>
      <c r="AH5" s="2869"/>
      <c r="AI5" s="2869"/>
      <c r="AJ5" s="2869"/>
      <c r="AK5" s="2869"/>
      <c r="AL5" s="2870"/>
      <c r="AM5" s="1884" t="s">
        <v>420</v>
      </c>
      <c r="AO5" s="1126"/>
      <c r="AP5" s="1126" t="str">
        <f>IF(T5="","",T5)</f>
        <v>Источник тепловой энергии  </v>
      </c>
      <c r="AQ5" s="1126"/>
      <c r="AR5" s="1126"/>
      <c r="AS5" s="1781">
        <v>0</v>
      </c>
    </row>
    <row customHeight="1" ht="47.25" hidden="1">
      <c r="A6" s="1989"/>
      <c r="B6" s="1989"/>
      <c r="C6" s="1989"/>
      <c r="D6" s="1989"/>
      <c r="E6" s="2885"/>
      <c r="F6" s="2885"/>
      <c r="G6" s="2885"/>
      <c r="H6" s="2885"/>
      <c r="I6" s="2882">
        <f>S5&amp;".1"</f>
      </c>
      <c r="J6" s="1989"/>
      <c r="K6" s="1989"/>
      <c r="L6" s="1990" t="s">
        <v>421</v>
      </c>
      <c r="M6" s="1163"/>
      <c r="P6" s="2883">
        <v>1</v>
      </c>
      <c r="Q6" s="1931"/>
      <c r="R6" s="982"/>
      <c r="S6" s="1935">
        <f>$I6</f>
      </c>
      <c r="T6" s="911" t="s">
        <v>422</v>
      </c>
      <c r="U6" s="926"/>
      <c r="V6" s="2871"/>
      <c r="W6" s="2872"/>
      <c r="X6" s="2872"/>
      <c r="Y6" s="2872"/>
      <c r="Z6" s="2872"/>
      <c r="AA6" s="2872"/>
      <c r="AB6" s="2872"/>
      <c r="AC6" s="2873"/>
      <c r="AD6" s="2871"/>
      <c r="AE6" s="2872"/>
      <c r="AF6" s="2872"/>
      <c r="AG6" s="2872"/>
      <c r="AH6" s="2872"/>
      <c r="AI6" s="2872"/>
      <c r="AJ6" s="2872"/>
      <c r="AK6" s="2872"/>
      <c r="AL6" s="2873"/>
      <c r="AM6" s="1884" t="s">
        <v>423</v>
      </c>
      <c r="AO6" s="1126"/>
      <c r="AP6" s="1126" t="str">
        <f>IF(T6="","",T6)</f>
        <v>Схема подключения теплопотребляющей установки к коллектору источника тепловой энергии</v>
      </c>
      <c r="AQ6" s="1126"/>
      <c r="AR6" s="1126"/>
      <c r="AS6" s="1781">
        <v>0</v>
      </c>
    </row>
    <row customHeight="1" ht="21" hidden="1">
      <c r="A7" s="1989"/>
      <c r="B7" s="1989"/>
      <c r="C7" s="1989"/>
      <c r="D7" s="1989"/>
      <c r="E7" s="2885"/>
      <c r="F7" s="2885"/>
      <c r="G7" s="2885"/>
      <c r="H7" s="2885"/>
      <c r="I7" s="2912"/>
      <c r="J7" s="2882">
        <f>I6&amp;".1"</f>
      </c>
      <c r="K7" s="1989"/>
      <c r="L7" s="1990" t="s">
        <v>424</v>
      </c>
      <c r="M7" s="1163"/>
      <c r="N7" s="1992"/>
      <c r="P7" s="2883"/>
      <c r="Q7" s="2883">
        <v>1</v>
      </c>
      <c r="R7" s="983"/>
      <c r="S7" s="1935">
        <f>$J7</f>
      </c>
      <c r="T7" s="912" t="s">
        <v>425</v>
      </c>
      <c r="U7" s="926"/>
      <c r="V7" s="2871"/>
      <c r="W7" s="2872"/>
      <c r="X7" s="2872"/>
      <c r="Y7" s="2872"/>
      <c r="Z7" s="2872"/>
      <c r="AA7" s="2872"/>
      <c r="AB7" s="2872"/>
      <c r="AC7" s="2873"/>
      <c r="AD7" s="2871"/>
      <c r="AE7" s="2872"/>
      <c r="AF7" s="2872"/>
      <c r="AG7" s="2872"/>
      <c r="AH7" s="2872"/>
      <c r="AI7" s="2872"/>
      <c r="AJ7" s="2872"/>
      <c r="AK7" s="2872"/>
      <c r="AL7" s="2873"/>
      <c r="AM7" s="1884" t="s">
        <v>426</v>
      </c>
      <c r="AO7" s="1126"/>
      <c r="AP7" s="1126" t="str">
        <f>IF(T7="","",T7)</f>
        <v>Группа потребителей</v>
      </c>
      <c r="AQ7" s="1126"/>
      <c r="AR7" s="1126"/>
      <c r="AS7" s="1781">
        <v>0</v>
      </c>
    </row>
    <row customHeight="1" ht="21" hidden="1">
      <c r="A8" s="1989"/>
      <c r="B8" s="1989"/>
      <c r="C8" s="1989"/>
      <c r="D8" s="1989"/>
      <c r="E8" s="2885"/>
      <c r="F8" s="2885"/>
      <c r="G8" s="2885"/>
      <c r="H8" s="2885"/>
      <c r="I8" s="2912"/>
      <c r="J8" s="2912"/>
      <c r="K8" s="2882">
        <f>J7&amp;".1"</f>
      </c>
      <c r="L8" s="1990" t="s">
        <v>427</v>
      </c>
      <c r="M8" s="1163"/>
      <c r="N8" s="1992"/>
      <c r="O8" s="1992"/>
      <c r="P8" s="2883"/>
      <c r="Q8" s="2883"/>
      <c r="R8" s="983">
        <v>1</v>
      </c>
      <c r="S8" s="1935">
        <f>$K8</f>
      </c>
      <c r="T8" s="1973"/>
      <c r="U8" s="926"/>
      <c r="V8" s="1377"/>
      <c r="W8" s="951"/>
      <c r="X8" s="1377"/>
      <c r="Y8" s="1883"/>
      <c r="Z8" s="2891"/>
      <c r="AA8" s="2733" t="s">
        <v>66</v>
      </c>
      <c r="AB8" s="2891"/>
      <c r="AC8" s="2733" t="s">
        <v>66</v>
      </c>
      <c r="AD8" s="1377"/>
      <c r="AE8" s="951"/>
      <c r="AF8" s="1377"/>
      <c r="AG8" s="1883"/>
      <c r="AH8" s="2891"/>
      <c r="AI8" s="2733" t="s">
        <v>66</v>
      </c>
      <c r="AJ8" s="2891"/>
      <c r="AK8" s="2733" t="s">
        <v>66</v>
      </c>
      <c r="AL8" s="951"/>
      <c r="AM8" s="2879" t="s">
        <v>428</v>
      </c>
      <c r="AN8" s="1137">
        <f>STRCHECKDATE(V9:AL9)</f>
      </c>
      <c r="AO8" s="1126"/>
      <c r="AP8" s="1126" t="str">
        <f>IF(T8="","",T8)</f>
        <v/>
      </c>
      <c r="AQ8" s="1126"/>
      <c r="AR8" s="1126"/>
      <c r="AS8" s="1781">
        <v>0</v>
      </c>
    </row>
    <row customHeight="1" ht="0.75" hidden="1">
      <c r="A9" s="1989"/>
      <c r="B9" s="1989"/>
      <c r="C9" s="1989"/>
      <c r="D9" s="1989"/>
      <c r="E9" s="2885"/>
      <c r="F9" s="2885"/>
      <c r="G9" s="2885"/>
      <c r="H9" s="2885"/>
      <c r="I9" s="2912"/>
      <c r="J9" s="2912"/>
      <c r="K9" s="2882"/>
      <c r="L9" s="1990"/>
      <c r="M9" s="1163"/>
      <c r="N9" s="1992"/>
      <c r="O9" s="1992"/>
      <c r="P9" s="2883"/>
      <c r="Q9" s="2883"/>
      <c r="R9" s="983"/>
      <c r="S9" s="1932"/>
      <c r="T9" s="926"/>
      <c r="U9" s="926"/>
      <c r="V9" s="951"/>
      <c r="W9" s="951"/>
      <c r="X9" s="951"/>
      <c r="Y9" s="954" t="str">
        <f>Z8&amp;"-"&amp;AB8</f>
        <v>-</v>
      </c>
      <c r="Z9" s="2892"/>
      <c r="AA9" s="2733"/>
      <c r="AB9" s="2892"/>
      <c r="AC9" s="2733"/>
      <c r="AD9" s="951"/>
      <c r="AE9" s="951"/>
      <c r="AF9" s="951"/>
      <c r="AG9" s="954" t="str">
        <f>AH8&amp;"-"&amp;AJ8</f>
        <v>-</v>
      </c>
      <c r="AH9" s="2892"/>
      <c r="AI9" s="2733"/>
      <c r="AJ9" s="2892"/>
      <c r="AK9" s="2733"/>
      <c r="AL9" s="951"/>
      <c r="AM9" s="2880"/>
      <c r="AO9" s="1126"/>
      <c r="AP9" s="1126" t="str">
        <f>IF(T9="","",T9)</f>
        <v/>
      </c>
      <c r="AQ9" s="1126"/>
      <c r="AR9" s="1126"/>
      <c r="AS9" s="1781">
        <v>0</v>
      </c>
    </row>
    <row customHeight="1" ht="15" hidden="1">
      <c r="A10" s="1989"/>
      <c r="B10" s="1989"/>
      <c r="C10" s="1989"/>
      <c r="D10" s="1989"/>
      <c r="E10" s="2885"/>
      <c r="F10" s="2885"/>
      <c r="G10" s="2885"/>
      <c r="H10" s="2885"/>
      <c r="I10" s="2912"/>
      <c r="J10" s="2882"/>
      <c r="K10" s="1989"/>
      <c r="L10" s="1990"/>
      <c r="M10" s="1163"/>
      <c r="N10" s="1992"/>
      <c r="P10" s="2883"/>
      <c r="Q10" s="2883"/>
      <c r="R10" s="982"/>
      <c r="S10" s="1904"/>
      <c r="T10" s="914" t="s">
        <v>429</v>
      </c>
      <c r="U10" s="993"/>
      <c r="V10" s="993"/>
      <c r="W10" s="993"/>
      <c r="X10" s="993"/>
      <c r="Y10" s="993"/>
      <c r="Z10" s="993"/>
      <c r="AA10" s="993"/>
      <c r="AB10" s="993"/>
      <c r="AC10" s="993"/>
      <c r="AD10" s="993"/>
      <c r="AE10" s="993"/>
      <c r="AF10" s="993"/>
      <c r="AG10" s="993"/>
      <c r="AH10" s="993"/>
      <c r="AI10" s="993"/>
      <c r="AJ10" s="993"/>
      <c r="AK10" s="993"/>
      <c r="AL10" s="950"/>
      <c r="AM10" s="2881"/>
      <c r="AO10" s="1126"/>
      <c r="AP10" s="1126" t="str">
        <f>IF(T10="","",T10)</f>
        <v>Добавить вид теплоносителя (параметры теплоносителя)</v>
      </c>
      <c r="AQ10" s="1126"/>
      <c r="AR10" s="1126"/>
      <c r="AS10" s="1781">
        <v>0</v>
      </c>
    </row>
    <row customHeight="1" ht="15" hidden="1">
      <c r="A11" s="1989"/>
      <c r="B11" s="1989"/>
      <c r="C11" s="1989"/>
      <c r="D11" s="1989"/>
      <c r="E11" s="2885"/>
      <c r="F11" s="2885"/>
      <c r="G11" s="2885"/>
      <c r="H11" s="2885"/>
      <c r="I11" s="2882"/>
      <c r="J11" s="1989"/>
      <c r="K11" s="1989"/>
      <c r="L11" s="1990"/>
      <c r="M11" s="1163"/>
      <c r="P11" s="2883"/>
      <c r="Q11" s="1931"/>
      <c r="R11" s="982"/>
      <c r="S11" s="1904"/>
      <c r="T11" s="913" t="s">
        <v>430</v>
      </c>
      <c r="U11" s="993"/>
      <c r="V11" s="993"/>
      <c r="W11" s="993"/>
      <c r="X11" s="993"/>
      <c r="Y11" s="993"/>
      <c r="Z11" s="993"/>
      <c r="AA11" s="993"/>
      <c r="AB11" s="993"/>
      <c r="AC11" s="992"/>
      <c r="AD11" s="993"/>
      <c r="AE11" s="993"/>
      <c r="AF11" s="993"/>
      <c r="AG11" s="993"/>
      <c r="AH11" s="993"/>
      <c r="AI11" s="993"/>
      <c r="AJ11" s="993"/>
      <c r="AK11" s="992"/>
      <c r="AL11" s="993"/>
      <c r="AM11" s="929"/>
      <c r="AO11" s="1126"/>
      <c r="AP11" s="1126" t="str">
        <f>IF(T11="","",T11)</f>
        <v>Добавить группу потребителей</v>
      </c>
      <c r="AQ11" s="1126"/>
      <c r="AR11" s="1126"/>
      <c r="AS11" s="1781">
        <v>0</v>
      </c>
    </row>
    <row customHeight="1" ht="14.25" hidden="1">
      <c r="A12" s="1989"/>
      <c r="B12" s="1989"/>
      <c r="C12" s="1989"/>
      <c r="D12" s="1989"/>
      <c r="E12" s="2885"/>
      <c r="F12" s="2885"/>
      <c r="G12" s="2885"/>
      <c r="H12" s="2884"/>
      <c r="I12" s="1989"/>
      <c r="J12" s="1989"/>
      <c r="K12" s="1989"/>
      <c r="L12" s="1990"/>
      <c r="M12" s="1991"/>
      <c r="N12" s="1991"/>
      <c r="O12" s="1163"/>
      <c r="P12" s="986"/>
      <c r="Q12" s="1001"/>
      <c r="R12" s="981"/>
      <c r="S12" s="1904"/>
      <c r="T12" s="991" t="s">
        <v>431</v>
      </c>
      <c r="U12" s="993"/>
      <c r="V12" s="993"/>
      <c r="W12" s="993"/>
      <c r="X12" s="993"/>
      <c r="Y12" s="993"/>
      <c r="Z12" s="993"/>
      <c r="AA12" s="993"/>
      <c r="AB12" s="993"/>
      <c r="AC12" s="992"/>
      <c r="AD12" s="993"/>
      <c r="AE12" s="993"/>
      <c r="AF12" s="993"/>
      <c r="AG12" s="993"/>
      <c r="AH12" s="993"/>
      <c r="AI12" s="993"/>
      <c r="AJ12" s="993"/>
      <c r="AK12" s="992"/>
      <c r="AL12" s="993"/>
      <c r="AM12" s="929"/>
      <c r="AO12" s="1126"/>
      <c r="AP12" s="1126" t="str">
        <f>IF(T12="","",T12)</f>
        <v>Добавить схему подключения</v>
      </c>
      <c r="AQ12" s="1126"/>
      <c r="AR12" s="1126"/>
      <c r="AS12" s="1781">
        <v>0</v>
      </c>
    </row>
    <row s="34658" customFormat="1" customHeight="1" ht="0.75" hidden="1">
      <c r="A13" s="1940"/>
      <c r="B13" s="1940"/>
      <c r="C13" s="1940"/>
      <c r="D13" s="1940"/>
      <c r="E13" s="2885"/>
      <c r="F13" s="2885"/>
      <c r="G13" s="2884"/>
      <c r="H13" s="1940"/>
      <c r="I13" s="1940"/>
      <c r="J13" s="1940"/>
      <c r="K13" s="1940"/>
      <c r="L13" s="1965"/>
      <c r="M13" s="1941"/>
      <c r="N13" s="1941"/>
      <c r="P13" s="1942"/>
      <c r="Q13" s="1943"/>
      <c r="R13" s="1942"/>
      <c r="S13" s="1944"/>
      <c r="T13" s="1945" t="s">
        <v>432</v>
      </c>
      <c r="U13" s="1946"/>
      <c r="V13" s="1946"/>
      <c r="W13" s="1946"/>
      <c r="X13" s="1946"/>
      <c r="Y13" s="1946"/>
      <c r="Z13" s="1946"/>
      <c r="AA13" s="1946"/>
      <c r="AB13" s="1946"/>
      <c r="AC13" s="1946"/>
      <c r="AD13" s="1946"/>
      <c r="AE13" s="1946"/>
      <c r="AF13" s="1946"/>
      <c r="AG13" s="1946"/>
      <c r="AH13" s="1946"/>
      <c r="AI13" s="1946"/>
      <c r="AJ13" s="1946"/>
      <c r="AK13" s="1946"/>
      <c r="AL13" s="1946"/>
      <c r="AM13" s="1946"/>
      <c r="AO13" s="1415"/>
      <c r="AP13" s="1415" t="str">
        <f>IF(T13="","",T13)</f>
        <v>Добавить источник для дифференциации</v>
      </c>
      <c r="AQ13" s="1415"/>
      <c r="AR13" s="1415"/>
      <c r="AS13" s="1144">
        <v>0</v>
      </c>
    </row>
    <row s="34658" customFormat="1" customHeight="1" ht="0.75" hidden="1">
      <c r="A14" s="1940"/>
      <c r="B14" s="1940"/>
      <c r="C14" s="1940"/>
      <c r="D14" s="1940"/>
      <c r="E14" s="2885"/>
      <c r="F14" s="2884"/>
      <c r="G14" s="1940"/>
      <c r="H14" s="1940"/>
      <c r="I14" s="1940"/>
      <c r="J14" s="1940"/>
      <c r="K14" s="1940"/>
      <c r="L14" s="1965"/>
      <c r="M14" s="1947"/>
      <c r="N14" s="1947"/>
      <c r="P14" s="1942"/>
      <c r="Q14" s="1943"/>
      <c r="R14" s="1942"/>
      <c r="S14" s="1948"/>
      <c r="T14" s="1949" t="s">
        <v>433</v>
      </c>
      <c r="U14" s="1950"/>
      <c r="V14" s="1950"/>
      <c r="W14" s="1950"/>
      <c r="X14" s="1950"/>
      <c r="Y14" s="1950"/>
      <c r="Z14" s="1950"/>
      <c r="AA14" s="1950"/>
      <c r="AB14" s="1950"/>
      <c r="AC14" s="1950"/>
      <c r="AD14" s="1950"/>
      <c r="AE14" s="1950"/>
      <c r="AF14" s="1950"/>
      <c r="AG14" s="1950"/>
      <c r="AH14" s="1950"/>
      <c r="AI14" s="1950"/>
      <c r="AJ14" s="1950"/>
      <c r="AK14" s="1950"/>
      <c r="AL14" s="1950"/>
      <c r="AM14" s="1950"/>
      <c r="AO14" s="1415"/>
      <c r="AP14" s="1415" t="str">
        <f>IF(T14="","",T14)</f>
        <v>Добавить централизованную систему для дифференциации</v>
      </c>
      <c r="AQ14" s="1415"/>
      <c r="AR14" s="1415"/>
      <c r="AS14" s="1144">
        <v>0</v>
      </c>
    </row>
    <row s="34658" customFormat="1" customHeight="1" ht="0.75" hidden="1">
      <c r="A15" s="1940"/>
      <c r="B15" s="1940"/>
      <c r="C15" s="1940"/>
      <c r="D15" s="1940"/>
      <c r="E15" s="2884"/>
      <c r="F15" s="1940"/>
      <c r="G15" s="1940"/>
      <c r="H15" s="1940"/>
      <c r="I15" s="1940"/>
      <c r="J15" s="1940"/>
      <c r="K15" s="1940"/>
      <c r="L15" s="1965"/>
      <c r="M15" s="1947"/>
      <c r="N15" s="1947"/>
      <c r="P15" s="1942"/>
      <c r="Q15" s="1943"/>
      <c r="R15" s="1942"/>
      <c r="S15" s="1948"/>
      <c r="T15" s="1951" t="s">
        <v>434</v>
      </c>
      <c r="U15" s="1950"/>
      <c r="V15" s="1950"/>
      <c r="W15" s="1950"/>
      <c r="X15" s="1950"/>
      <c r="Y15" s="1950"/>
      <c r="Z15" s="1950"/>
      <c r="AA15" s="1950"/>
      <c r="AB15" s="1950"/>
      <c r="AC15" s="1950"/>
      <c r="AD15" s="1950"/>
      <c r="AE15" s="1950"/>
      <c r="AF15" s="1950"/>
      <c r="AG15" s="1950"/>
      <c r="AH15" s="1950"/>
      <c r="AI15" s="1950"/>
      <c r="AJ15" s="1950"/>
      <c r="AK15" s="1950"/>
      <c r="AL15" s="1950"/>
      <c r="AM15" s="1950"/>
      <c r="AO15" s="1415"/>
      <c r="AP15" s="1415" t="str">
        <f>IF(T15="","",T15)</f>
        <v>Добавить территорию для дифференциации</v>
      </c>
      <c r="AQ15" s="1415"/>
      <c r="AR15" s="1415"/>
      <c r="AS15" s="1144">
        <v>0</v>
      </c>
    </row>
    <row customHeight="1" ht="14.25" hidden="1">
      <c r="AC16" s="953"/>
      <c r="AK16" s="953"/>
      <c r="AS16" s="1781">
        <v>0</v>
      </c>
    </row>
    <row customHeight="1" ht="14.25" hidden="1">
      <c r="P17" s="1937"/>
      <c r="AD17" s="1986"/>
      <c r="AE17" s="1986"/>
      <c r="AF17" s="1986"/>
      <c r="AG17" s="1987"/>
      <c r="AH17" s="2893"/>
      <c r="AI17" s="2894" t="s">
        <v>66</v>
      </c>
      <c r="AJ17" s="2893"/>
      <c r="AK17" s="2894" t="s">
        <v>66</v>
      </c>
      <c r="AS17" s="1781">
        <v>0</v>
      </c>
    </row>
    <row customHeight="1" ht="14.25" hidden="1">
      <c r="P18" s="1937"/>
      <c r="AD18" s="1986"/>
      <c r="AE18" s="1986"/>
      <c r="AF18" s="1986"/>
      <c r="AG18" s="954" t="str">
        <f>AH17&amp;"-"&amp;AJ17</f>
        <v>-</v>
      </c>
      <c r="AH18" s="2894"/>
      <c r="AI18" s="2894"/>
      <c r="AJ18" s="2894"/>
      <c r="AK18" s="2894"/>
      <c r="AS18" s="1781">
        <v>0</v>
      </c>
    </row>
    <row customHeight="1" ht="14.25" hidden="1">
      <c r="P19" s="1937"/>
      <c r="AK19" s="953"/>
      <c r="AS19" s="1781">
        <v>0</v>
      </c>
    </row>
    <row s="34657" customFormat="1" customHeight="1" ht="22.5" hidden="1">
      <c r="L20" s="1955"/>
      <c r="M20" s="1988"/>
      <c r="N20" s="1988"/>
      <c r="O20" s="1993" t="s">
        <v>435</v>
      </c>
      <c r="P20" s="1988"/>
      <c r="Q20" s="1997"/>
      <c r="R20" s="1997"/>
      <c r="S20" s="1355"/>
      <c r="Z20" s="1993"/>
      <c r="AB20" s="1993"/>
      <c r="AC20" s="1992"/>
      <c r="AH20" s="1993"/>
      <c r="AJ20" s="1993"/>
      <c r="AK20" s="1992"/>
      <c r="AN20" s="1137"/>
      <c r="AO20" s="1137"/>
      <c r="AP20" s="1137"/>
      <c r="AQ20" s="1137"/>
      <c r="AR20" s="1137"/>
      <c r="AS20" s="1786">
        <v>0</v>
      </c>
    </row>
    <row s="34657" customFormat="1" customHeight="1" ht="14.25" hidden="1">
      <c r="L21" s="1955"/>
      <c r="M21" s="1988"/>
      <c r="N21" s="1988"/>
      <c r="O21" s="1988"/>
      <c r="P21" s="1988"/>
      <c r="Q21" s="1997"/>
      <c r="R21" s="1997"/>
      <c r="S21" s="1355"/>
      <c r="AC21" s="1992"/>
      <c r="AK21" s="1992"/>
      <c r="AN21" s="1137"/>
      <c r="AO21" s="1137"/>
      <c r="AP21" s="1137"/>
      <c r="AQ21" s="1137"/>
      <c r="AR21" s="1137"/>
      <c r="AS21" s="1786">
        <v>0</v>
      </c>
    </row>
    <row s="34657" customFormat="1" customHeight="1" ht="14.25" hidden="1">
      <c r="L22" s="1955"/>
      <c r="M22" s="1988"/>
      <c r="N22" s="1988"/>
      <c r="O22" s="1990" t="s">
        <v>436</v>
      </c>
      <c r="P22" s="1988"/>
      <c r="Q22" s="1997"/>
      <c r="R22" s="1997"/>
      <c r="S22" s="1355"/>
      <c r="T22" s="1786" t="s">
        <v>437</v>
      </c>
      <c r="AA22" s="812" t="s">
        <v>438</v>
      </c>
      <c r="AC22" s="812" t="s">
        <v>439</v>
      </c>
      <c r="AD22" s="1786" t="s">
        <v>437</v>
      </c>
      <c r="AI22" s="812" t="s">
        <v>440</v>
      </c>
      <c r="AK22" s="812" t="s">
        <v>439</v>
      </c>
      <c r="AN22" s="1137"/>
      <c r="AO22" s="1137"/>
      <c r="AP22" s="1137"/>
      <c r="AQ22" s="1137"/>
      <c r="AR22" s="1137"/>
      <c r="AS22" s="1786">
        <v>0</v>
      </c>
    </row>
    <row customHeight="1" ht="14.25" hidden="1">
      <c r="O23" s="1990"/>
      <c r="P23" s="1937"/>
      <c r="AS23" s="1781">
        <v>0</v>
      </c>
    </row>
    <row customHeight="1" ht="14.25" hidden="1">
      <c r="O24" s="1990"/>
      <c r="P24" s="1937"/>
      <c r="AS24" s="1781">
        <v>0</v>
      </c>
    </row>
    <row customHeight="1" ht="14.699999999999998">
      <c r="Q25" s="1002"/>
      <c r="R25" s="1002"/>
      <c r="S25" s="1901"/>
      <c r="T25" s="989"/>
      <c r="U25" s="989"/>
      <c r="V25" s="1135"/>
      <c r="W25" s="1135"/>
      <c r="X25" s="1135"/>
      <c r="Y25" s="1135"/>
      <c r="Z25" s="1135"/>
      <c r="AA25" s="1135"/>
      <c r="AB25" s="1135"/>
      <c r="AC25" s="1135"/>
      <c r="AD25" s="1135"/>
      <c r="AE25" s="1135"/>
      <c r="AF25" s="1135"/>
      <c r="AG25" s="1135"/>
      <c r="AH25" s="1135"/>
      <c r="AI25" s="1135"/>
      <c r="AJ25" s="1135"/>
      <c r="AK25" s="1135"/>
      <c r="AS25" s="1781">
        <v>14</v>
      </c>
    </row>
    <row customHeight="1" ht="14.699999999999998">
      <c r="Q26" s="1002"/>
      <c r="R26" s="1002"/>
      <c r="S26" s="28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4"/>
      <c r="U26" s="2874"/>
      <c r="V26" s="2874"/>
      <c r="W26" s="2874"/>
      <c r="X26" s="2874"/>
      <c r="Y26" s="2874"/>
      <c r="Z26" s="2874"/>
      <c r="AA26" s="2874"/>
      <c r="AB26" s="2874"/>
      <c r="AC26" s="2874"/>
      <c r="AD26" s="2874"/>
      <c r="AE26" s="2874"/>
      <c r="AF26" s="2874"/>
      <c r="AG26" s="2874"/>
      <c r="AH26" s="2874"/>
      <c r="AI26" s="2874"/>
      <c r="AJ26" s="2874"/>
      <c r="AK26" s="1869"/>
      <c r="AS26" s="1781">
        <v>14</v>
      </c>
    </row>
    <row customHeight="1" ht="14.699999999999998">
      <c r="Q27" s="1002"/>
      <c r="R27" s="1002"/>
      <c r="S27" s="2875" t="str">
        <f>IF(org=0,"Не определено",org)</f>
        <v>АО "ДГК"</v>
      </c>
      <c r="T27" s="2875"/>
      <c r="U27" s="2875"/>
      <c r="V27" s="2875"/>
      <c r="W27" s="2875"/>
      <c r="X27" s="2875"/>
      <c r="Y27" s="2875"/>
      <c r="Z27" s="2875"/>
      <c r="AA27" s="2875"/>
      <c r="AB27" s="2875"/>
      <c r="AC27" s="2875"/>
      <c r="AD27" s="2875"/>
      <c r="AE27" s="2875"/>
      <c r="AF27" s="2875"/>
      <c r="AG27" s="2875"/>
      <c r="AH27" s="2875"/>
      <c r="AI27" s="2875"/>
      <c r="AJ27" s="2875"/>
      <c r="AK27" s="1869"/>
      <c r="AS27" s="1781">
        <v>14</v>
      </c>
    </row>
    <row customHeight="1" ht="14.25" hidden="1">
      <c r="Q28" s="1002"/>
      <c r="R28" s="1002"/>
      <c r="S28" s="1901"/>
      <c r="T28" s="989"/>
      <c r="U28" s="989"/>
      <c r="V28" s="948"/>
      <c r="W28" s="948"/>
      <c r="X28" s="948"/>
      <c r="Y28" s="948"/>
      <c r="Z28" s="948"/>
      <c r="AA28" s="948"/>
      <c r="AB28" s="948"/>
      <c r="AC28" s="948"/>
      <c r="AD28" s="948"/>
      <c r="AE28" s="948"/>
      <c r="AF28" s="948"/>
      <c r="AG28" s="948"/>
      <c r="AH28" s="948"/>
      <c r="AI28" s="948"/>
      <c r="AJ28" s="948"/>
      <c r="AK28" s="948"/>
      <c r="AL28" s="1135"/>
      <c r="AS28" s="1781">
        <v>0</v>
      </c>
    </row>
    <row s="34794" customFormat="1" customHeight="1" ht="25.5" hidden="1">
      <c r="A29" s="1994"/>
      <c r="B29" s="1994"/>
      <c r="C29" s="1994"/>
      <c r="D29" s="1994"/>
      <c r="E29" s="1994"/>
      <c r="F29" s="1994"/>
      <c r="G29" s="1994"/>
      <c r="H29" s="1994"/>
      <c r="I29" s="1994"/>
      <c r="J29" s="1994"/>
      <c r="K29" s="1994"/>
      <c r="L29" s="1995"/>
      <c r="M29" s="1994"/>
      <c r="N29" s="1994"/>
      <c r="O29" s="1994"/>
      <c r="S29" s="2876" t="s">
        <v>42</v>
      </c>
      <c r="T29" s="2876"/>
      <c r="U29" s="1998"/>
      <c r="V29" s="2877" t="str">
        <f>IF(TITLE_NAME_OR_PR_CHANGE="",IF(TITLE_NAME_OR_PR="","",TITLE_NAME_OR_PR),TITLE_NAME_OR_PR_CHANGE)</f>
        <v/>
      </c>
      <c r="W29" s="2877"/>
      <c r="X29" s="2877"/>
      <c r="Y29" s="2877"/>
      <c r="Z29" s="2877"/>
      <c r="AA29" s="2877"/>
      <c r="AB29" s="2877"/>
      <c r="AC29" s="952"/>
      <c r="AD29" s="2877" t="str">
        <f>IF(TITLE_NAME_OR_PR_CHANGE="",IF(TITLE_NAME_OR_PR="","",TITLE_NAME_OR_PR),TITLE_NAME_OR_PR_CHANGE)</f>
        <v/>
      </c>
      <c r="AE29" s="2877"/>
      <c r="AF29" s="2877"/>
      <c r="AG29" s="2877"/>
      <c r="AH29" s="2877"/>
      <c r="AI29" s="2877"/>
      <c r="AJ29" s="2877"/>
      <c r="AK29" s="952"/>
      <c r="AL29" s="952"/>
      <c r="AM29" s="906"/>
      <c r="AN29" s="994"/>
      <c r="AO29" s="994"/>
      <c r="AP29" s="994"/>
      <c r="AQ29" s="994"/>
      <c r="AR29" s="994"/>
      <c r="AS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441</v>
      </c>
      <c r="T30" s="2876"/>
      <c r="U30" s="1998"/>
      <c r="V30" s="2890" t="str">
        <f>IF(TITLE_DATE_PR_CHANGE="",IF(TITLE_DATE_PR="","",TITLE_DATE_PR),TITLE_DATE_PR_CHANGE)</f>
        <v/>
      </c>
      <c r="W30" s="2890"/>
      <c r="X30" s="2890"/>
      <c r="Y30" s="2890"/>
      <c r="Z30" s="2890"/>
      <c r="AA30" s="2890"/>
      <c r="AB30" s="2890"/>
      <c r="AC30" s="952"/>
      <c r="AD30" s="2890" t="str">
        <f>IF(TITLE_DATE_PR_CHANGE="",IF(TITLE_DATE_PR="","",TITLE_DATE_PR),TITLE_DATE_PR_CHANGE)</f>
        <v/>
      </c>
      <c r="AE30" s="2890"/>
      <c r="AF30" s="2890"/>
      <c r="AG30" s="2890"/>
      <c r="AH30" s="2890"/>
      <c r="AI30" s="2890"/>
      <c r="AJ30" s="2890"/>
      <c r="AK30" s="952"/>
      <c r="AL30" s="952"/>
      <c r="AM30" s="906"/>
      <c r="AN30" s="994"/>
      <c r="AO30" s="994"/>
      <c r="AP30" s="994"/>
      <c r="AQ30" s="994"/>
      <c r="AR30" s="994"/>
      <c r="AS30" s="1044">
        <v>0</v>
      </c>
    </row>
    <row s="34794" customFormat="1" customHeight="1" ht="18.75" hidden="1">
      <c r="A31" s="1994"/>
      <c r="B31" s="1994"/>
      <c r="C31" s="1994"/>
      <c r="D31" s="1994"/>
      <c r="E31" s="1994"/>
      <c r="F31" s="1994"/>
      <c r="G31" s="1994"/>
      <c r="H31" s="1994"/>
      <c r="I31" s="1994"/>
      <c r="J31" s="1994"/>
      <c r="K31" s="1994"/>
      <c r="L31" s="1995"/>
      <c r="M31" s="1994"/>
      <c r="N31" s="1994"/>
      <c r="O31" s="1994"/>
      <c r="S31" s="2876" t="s">
        <v>442</v>
      </c>
      <c r="T31" s="2876"/>
      <c r="U31" s="1998"/>
      <c r="V31" s="2877" t="str">
        <f>IF(TITLE_NUMBER_PR_CHANGE="",IF(TITLE_NUMBER_PR="","",TITLE_NUMBER_PR),TITLE_NUMBER_PR_CHANGE)</f>
        <v/>
      </c>
      <c r="W31" s="2877"/>
      <c r="X31" s="2877"/>
      <c r="Y31" s="2877"/>
      <c r="Z31" s="2877"/>
      <c r="AA31" s="2877"/>
      <c r="AB31" s="2877"/>
      <c r="AC31" s="952"/>
      <c r="AD31" s="2877" t="str">
        <f>IF(TITLE_NUMBER_PR_CHANGE="",IF(TITLE_NUMBER_PR="","",TITLE_NUMBER_PR),TITLE_NUMBER_PR_CHANGE)</f>
        <v/>
      </c>
      <c r="AE31" s="2877"/>
      <c r="AF31" s="2877"/>
      <c r="AG31" s="2877"/>
      <c r="AH31" s="2877"/>
      <c r="AI31" s="2877"/>
      <c r="AJ31" s="2877"/>
      <c r="AK31" s="952"/>
      <c r="AL31" s="952"/>
      <c r="AM31" s="906"/>
      <c r="AN31" s="994"/>
      <c r="AO31" s="994"/>
      <c r="AP31" s="994"/>
      <c r="AQ31" s="994"/>
      <c r="AR31" s="994"/>
      <c r="AS31" s="1044">
        <v>0</v>
      </c>
    </row>
    <row s="34794" customFormat="1" customHeight="1" ht="18.75" hidden="1">
      <c r="A32" s="1994"/>
      <c r="B32" s="1994"/>
      <c r="C32" s="1994"/>
      <c r="D32" s="1994"/>
      <c r="E32" s="1994"/>
      <c r="F32" s="1994"/>
      <c r="G32" s="1994"/>
      <c r="H32" s="1994"/>
      <c r="I32" s="1994"/>
      <c r="J32" s="1994"/>
      <c r="K32" s="1994"/>
      <c r="L32" s="1995"/>
      <c r="M32" s="1994"/>
      <c r="N32" s="1994"/>
      <c r="O32" s="1994"/>
      <c r="S32" s="2876" t="s">
        <v>43</v>
      </c>
      <c r="T32" s="2876"/>
      <c r="U32" s="1998"/>
      <c r="V32" s="2877" t="str">
        <f>IF(TITLE_IST_PUB_CHANGE="",IF(TITLE_IST_PUB="","",TITLE_IST_PUB),TITLE_IST_PUB_CHANGE)</f>
        <v/>
      </c>
      <c r="W32" s="2877"/>
      <c r="X32" s="2877"/>
      <c r="Y32" s="2877"/>
      <c r="Z32" s="2877"/>
      <c r="AA32" s="2877"/>
      <c r="AB32" s="2877"/>
      <c r="AC32" s="952"/>
      <c r="AD32" s="2877" t="str">
        <f>IF(TITLE_IST_PUB_CHANGE="",IF(TITLE_IST_PUB="","",TITLE_IST_PUB),TITLE_IST_PUB_CHANGE)</f>
        <v/>
      </c>
      <c r="AE32" s="2877"/>
      <c r="AF32" s="2877"/>
      <c r="AG32" s="2877"/>
      <c r="AH32" s="2877"/>
      <c r="AI32" s="2877"/>
      <c r="AJ32" s="2877"/>
      <c r="AK32" s="952"/>
      <c r="AL32" s="952"/>
      <c r="AM32" s="906"/>
      <c r="AN32" s="994"/>
      <c r="AO32" s="994"/>
      <c r="AP32" s="994"/>
      <c r="AQ32" s="994"/>
      <c r="AR32" s="994"/>
      <c r="AS32" s="1044">
        <v>0</v>
      </c>
    </row>
    <row customHeight="1" ht="14.25" hidden="1">
      <c r="P33" s="1954"/>
      <c r="Q33" s="1002"/>
      <c r="R33" s="1002"/>
      <c r="S33" s="1901"/>
      <c r="T33" s="989"/>
      <c r="U33" s="989"/>
      <c r="V33" s="948"/>
      <c r="W33" s="948"/>
      <c r="X33" s="948"/>
      <c r="Y33" s="948"/>
      <c r="Z33" s="948"/>
      <c r="AA33" s="948"/>
      <c r="AB33" s="948"/>
      <c r="AC33" s="948"/>
      <c r="AD33" s="948"/>
      <c r="AE33" s="948"/>
      <c r="AF33" s="948"/>
      <c r="AG33" s="948"/>
      <c r="AH33" s="948"/>
      <c r="AI33" s="948"/>
      <c r="AJ33" s="948"/>
      <c r="AK33" s="948"/>
      <c r="AL33" s="1135"/>
      <c r="AS33" s="1781">
        <v>0</v>
      </c>
    </row>
    <row s="34794" customFormat="1" customHeight="1" ht="18.75" hidden="1">
      <c r="A34" s="1994"/>
      <c r="B34" s="1994"/>
      <c r="C34" s="1994"/>
      <c r="D34" s="1994"/>
      <c r="E34" s="1994"/>
      <c r="F34" s="1994"/>
      <c r="G34" s="1994"/>
      <c r="H34" s="1994"/>
      <c r="I34" s="1994"/>
      <c r="J34" s="1994"/>
      <c r="K34" s="1994"/>
      <c r="L34" s="1995"/>
      <c r="M34" s="1994"/>
      <c r="N34" s="1994"/>
      <c r="O34" s="1994"/>
      <c r="S34" s="2876" t="s">
        <v>443</v>
      </c>
      <c r="T34" s="2876"/>
      <c r="U34" s="1998"/>
      <c r="V34" s="2890" t="str">
        <f>IF(TITLE_DATE_PR_CHANGE="",IF(TITLE_DATE_PR="","",TITLE_DATE_PR),TITLE_DATE_PR_CHANGE)</f>
        <v/>
      </c>
      <c r="W34" s="2890"/>
      <c r="X34" s="2890"/>
      <c r="Y34" s="2890"/>
      <c r="Z34" s="2890"/>
      <c r="AA34" s="2890"/>
      <c r="AB34" s="2890"/>
      <c r="AC34" s="952"/>
      <c r="AD34" s="2890" t="str">
        <f>IF(TITLE_DATE_PR_CHANGE="",IF(TITLE_DATE_PR="","",TITLE_DATE_PR),TITLE_DATE_PR_CHANGE)</f>
        <v/>
      </c>
      <c r="AE34" s="2890"/>
      <c r="AF34" s="2890"/>
      <c r="AG34" s="2890"/>
      <c r="AH34" s="2890"/>
      <c r="AI34" s="2890"/>
      <c r="AJ34" s="2890"/>
      <c r="AK34" s="952"/>
      <c r="AL34" s="952"/>
      <c r="AM34" s="906"/>
      <c r="AN34" s="994"/>
      <c r="AO34" s="994"/>
      <c r="AP34" s="994"/>
      <c r="AQ34" s="994"/>
      <c r="AR34" s="994"/>
      <c r="AS34" s="1044">
        <v>0</v>
      </c>
    </row>
    <row s="34794" customFormat="1" customHeight="1" ht="18.75" hidden="1">
      <c r="A35" s="1994"/>
      <c r="B35" s="1994"/>
      <c r="C35" s="1994"/>
      <c r="D35" s="1994"/>
      <c r="E35" s="1994"/>
      <c r="F35" s="1994"/>
      <c r="G35" s="1994"/>
      <c r="H35" s="1994"/>
      <c r="I35" s="1994"/>
      <c r="J35" s="1994"/>
      <c r="K35" s="1994"/>
      <c r="L35" s="1995"/>
      <c r="M35" s="1994"/>
      <c r="N35" s="1994"/>
      <c r="O35" s="1994"/>
      <c r="S35" s="2876" t="s">
        <v>444</v>
      </c>
      <c r="T35" s="2876"/>
      <c r="U35" s="1998"/>
      <c r="V35" s="2877" t="str">
        <f>IF(TITLE_NUMBER_PR_CHANGE="",IF(TITLE_NUMBER_PR="","",TITLE_NUMBER_PR),TITLE_NUMBER_PR_CHANGE)</f>
        <v/>
      </c>
      <c r="W35" s="2877"/>
      <c r="X35" s="2877"/>
      <c r="Y35" s="2877"/>
      <c r="Z35" s="2877"/>
      <c r="AA35" s="2877"/>
      <c r="AB35" s="2877"/>
      <c r="AC35" s="952"/>
      <c r="AD35" s="2877" t="str">
        <f>IF(TITLE_NUMBER_PR_CHANGE="",IF(TITLE_NUMBER_PR="","",TITLE_NUMBER_PR),TITLE_NUMBER_PR_CHANGE)</f>
        <v/>
      </c>
      <c r="AE35" s="2877"/>
      <c r="AF35" s="2877"/>
      <c r="AG35" s="2877"/>
      <c r="AH35" s="2877"/>
      <c r="AI35" s="2877"/>
      <c r="AJ35" s="2877"/>
      <c r="AK35" s="952"/>
      <c r="AL35" s="952"/>
      <c r="AM35" s="906"/>
      <c r="AN35" s="994"/>
      <c r="AO35" s="994"/>
      <c r="AP35" s="994"/>
      <c r="AQ35" s="994"/>
      <c r="AR35" s="994"/>
      <c r="AS35" s="1044">
        <v>0</v>
      </c>
    </row>
    <row s="34794" customFormat="1" customHeight="1" ht="0">
      <c r="A36" s="1994"/>
      <c r="B36" s="1994"/>
      <c r="C36" s="1994"/>
      <c r="D36" s="1994"/>
      <c r="E36" s="1994"/>
      <c r="F36" s="1994"/>
      <c r="G36" s="1994"/>
      <c r="H36" s="1994"/>
      <c r="I36" s="1994"/>
      <c r="J36" s="1994"/>
      <c r="K36" s="1994"/>
      <c r="L36" s="1995"/>
      <c r="M36" s="1994"/>
      <c r="N36" s="1994"/>
      <c r="O36" s="1994"/>
      <c r="S36" s="949"/>
      <c r="T36" s="949"/>
      <c r="U36" s="1845"/>
      <c r="V36" s="952"/>
      <c r="W36" s="952"/>
      <c r="X36" s="952"/>
      <c r="Y36" s="952"/>
      <c r="Z36" s="952"/>
      <c r="AA36" s="952"/>
      <c r="AB36" s="952"/>
      <c r="AC36" s="904" t="s">
        <v>445</v>
      </c>
      <c r="AD36" s="952"/>
      <c r="AE36" s="952"/>
      <c r="AF36" s="952"/>
      <c r="AG36" s="952"/>
      <c r="AH36" s="952"/>
      <c r="AI36" s="952"/>
      <c r="AJ36" s="952"/>
      <c r="AK36" s="904" t="s">
        <v>445</v>
      </c>
      <c r="AN36" s="994"/>
      <c r="AO36" s="994"/>
      <c r="AP36" s="994"/>
      <c r="AQ36" s="994"/>
      <c r="AR36" s="994"/>
      <c r="AS36" s="1044">
        <v>0</v>
      </c>
    </row>
    <row customHeight="1" ht="14.699999999999998">
      <c r="Q37" s="1002"/>
      <c r="R37" s="1002"/>
      <c r="S37" s="1901"/>
      <c r="T37" s="989"/>
      <c r="U37" s="1870"/>
      <c r="V37" s="2878"/>
      <c r="W37" s="2878"/>
      <c r="X37" s="2878"/>
      <c r="Y37" s="2878"/>
      <c r="Z37" s="2878"/>
      <c r="AA37" s="2878"/>
      <c r="AB37" s="2878"/>
      <c r="AC37" s="2878"/>
      <c r="AD37" s="2878"/>
      <c r="AE37" s="2878"/>
      <c r="AF37" s="2878"/>
      <c r="AG37" s="2878"/>
      <c r="AH37" s="2878"/>
      <c r="AI37" s="2878"/>
      <c r="AJ37" s="2878"/>
      <c r="AK37" s="2878"/>
      <c r="AS37" s="1781">
        <v>14</v>
      </c>
    </row>
    <row customHeight="1" ht="14.699999999999998">
      <c r="Q38" s="1002"/>
      <c r="R38" s="1002"/>
      <c r="S38" s="2753" t="s">
        <v>318</v>
      </c>
      <c r="T38" s="2753"/>
      <c r="U38" s="2753"/>
      <c r="V38" s="2753"/>
      <c r="W38" s="2753"/>
      <c r="X38" s="2753"/>
      <c r="Y38" s="2753"/>
      <c r="Z38" s="2753"/>
      <c r="AA38" s="2753"/>
      <c r="AB38" s="2753"/>
      <c r="AC38" s="2753"/>
      <c r="AD38" s="2753"/>
      <c r="AE38" s="2753"/>
      <c r="AF38" s="2753"/>
      <c r="AG38" s="2753"/>
      <c r="AH38" s="2753"/>
      <c r="AI38" s="2753"/>
      <c r="AJ38" s="2753"/>
      <c r="AK38" s="2753"/>
      <c r="AL38" s="2753"/>
      <c r="AM38" s="2753" t="s">
        <v>319</v>
      </c>
      <c r="AS38" s="1781">
        <v>14</v>
      </c>
    </row>
    <row customHeight="1" ht="14.699999999999998">
      <c r="Q39" s="1002"/>
      <c r="R39" s="1002"/>
      <c r="S39" s="2899" t="s">
        <v>88</v>
      </c>
      <c r="T39" s="2835" t="s">
        <v>446</v>
      </c>
      <c r="U39" s="927"/>
      <c r="V39" s="2900" t="s">
        <v>447</v>
      </c>
      <c r="W39" s="2901"/>
      <c r="X39" s="2901"/>
      <c r="Y39" s="2901"/>
      <c r="Z39" s="2901"/>
      <c r="AA39" s="2901"/>
      <c r="AB39" s="2902"/>
      <c r="AC39" s="2903" t="s">
        <v>448</v>
      </c>
      <c r="AD39" s="2900" t="s">
        <v>447</v>
      </c>
      <c r="AE39" s="2901"/>
      <c r="AF39" s="2901"/>
      <c r="AG39" s="2901"/>
      <c r="AH39" s="2901"/>
      <c r="AI39" s="2901"/>
      <c r="AJ39" s="2902"/>
      <c r="AK39" s="2903" t="s">
        <v>449</v>
      </c>
      <c r="AL39" s="2906" t="s">
        <v>450</v>
      </c>
      <c r="AM39" s="2753"/>
      <c r="AS39" s="1781">
        <v>14</v>
      </c>
    </row>
    <row customHeight="1" ht="35.699999999999996">
      <c r="Q40" s="1002"/>
      <c r="R40" s="1002"/>
      <c r="S40" s="2899"/>
      <c r="T40" s="2835"/>
      <c r="U40" s="1657"/>
      <c r="V40" s="2886" t="s">
        <v>451</v>
      </c>
      <c r="W40" s="3236" t="s">
        <v>452</v>
      </c>
      <c r="X40" s="2888" t="s">
        <v>453</v>
      </c>
      <c r="Y40" s="2889"/>
      <c r="Z40" s="2888" t="s">
        <v>454</v>
      </c>
      <c r="AA40" s="2895"/>
      <c r="AB40" s="2889"/>
      <c r="AC40" s="2904"/>
      <c r="AD40" s="2886" t="s">
        <v>451</v>
      </c>
      <c r="AE40" s="2909" t="s">
        <v>452</v>
      </c>
      <c r="AF40" s="2888" t="s">
        <v>453</v>
      </c>
      <c r="AG40" s="2889"/>
      <c r="AH40" s="2888" t="s">
        <v>454</v>
      </c>
      <c r="AI40" s="2895"/>
      <c r="AJ40" s="2889"/>
      <c r="AK40" s="2904"/>
      <c r="AL40" s="2907"/>
      <c r="AM40" s="2753"/>
      <c r="AS40" s="1781">
        <v>34</v>
      </c>
    </row>
    <row customHeight="1" ht="35.699999999999996">
      <c r="A41" s="1996"/>
      <c r="B41" s="1996" t="s">
        <v>155</v>
      </c>
      <c r="C41" s="1996" t="s">
        <v>156</v>
      </c>
      <c r="D41" s="1996" t="s">
        <v>157</v>
      </c>
      <c r="E41" s="1990" t="s">
        <v>455</v>
      </c>
      <c r="F41" s="1990" t="s">
        <v>456</v>
      </c>
      <c r="G41" s="1990" t="s">
        <v>457</v>
      </c>
      <c r="H41" s="1990" t="s">
        <v>458</v>
      </c>
      <c r="I41" s="1990" t="s">
        <v>459</v>
      </c>
      <c r="J41" s="1990" t="s">
        <v>460</v>
      </c>
      <c r="K41" s="1990" t="s">
        <v>461</v>
      </c>
      <c r="L41" s="1990" t="s">
        <v>436</v>
      </c>
      <c r="Q41" s="1002"/>
      <c r="R41" s="1002"/>
      <c r="S41" s="2899"/>
      <c r="T41" s="2835"/>
      <c r="U41" s="928"/>
      <c r="V41" s="2887"/>
      <c r="W41" s="2910"/>
      <c r="X41" s="1848" t="s">
        <v>462</v>
      </c>
      <c r="Y41" s="1848" t="s">
        <v>463</v>
      </c>
      <c r="Z41" s="1847" t="s">
        <v>464</v>
      </c>
      <c r="AA41" s="2896" t="s">
        <v>465</v>
      </c>
      <c r="AB41" s="2897"/>
      <c r="AC41" s="2905"/>
      <c r="AD41" s="2887"/>
      <c r="AE41" s="2910"/>
      <c r="AF41" s="1848" t="s">
        <v>462</v>
      </c>
      <c r="AG41" s="1848" t="s">
        <v>463</v>
      </c>
      <c r="AH41" s="1939" t="s">
        <v>464</v>
      </c>
      <c r="AI41" s="2896" t="s">
        <v>465</v>
      </c>
      <c r="AJ41" s="2897"/>
      <c r="AK41" s="2905"/>
      <c r="AL41" s="2908"/>
      <c r="AM41" s="2753"/>
      <c r="AS41" s="1781">
        <v>34</v>
      </c>
    </row>
    <row s="35197" customFormat="1" customHeight="1" ht="11.25" hidden="1">
      <c r="A42" s="1996"/>
      <c r="B42" s="1996"/>
      <c r="C42" s="1996"/>
      <c r="D42" s="1996"/>
      <c r="E42" s="1996"/>
      <c r="F42" s="1996"/>
      <c r="G42" s="1996"/>
      <c r="H42" s="1996"/>
      <c r="I42" s="1996"/>
      <c r="J42" s="1996"/>
      <c r="K42" s="1996"/>
      <c r="L42" s="1990"/>
      <c r="M42" s="1988"/>
      <c r="N42" s="1988"/>
      <c r="O42" s="1988"/>
      <c r="P42" s="1872"/>
      <c r="Q42" s="1873"/>
      <c r="R42" s="1880">
        <v>1</v>
      </c>
      <c r="S42" s="1903" t="s">
        <v>118</v>
      </c>
      <c r="T42" s="1881" t="s">
        <v>102</v>
      </c>
      <c r="U42" s="1871" t="str">
        <f>OFFSET(U42,0,-1)</f>
        <v>2</v>
      </c>
      <c r="V42" s="1882">
        <f>OFFSET(V42,0,-1)+1</f>
        <v>3</v>
      </c>
      <c r="W42" s="1882"/>
      <c r="X42" s="1882">
        <f>OFFSET(X42,0,-1)+1</f>
        <v>1</v>
      </c>
      <c r="Y42" s="1882">
        <f>OFFSET(Y42,0,-1)+1</f>
        <v>2</v>
      </c>
      <c r="Z42" s="1882">
        <f>OFFSET(Z42,0,-1)+1</f>
        <v>3</v>
      </c>
      <c r="AA42" s="2898">
        <f>OFFSET(AA42,0,-1)+1</f>
        <v>4</v>
      </c>
      <c r="AB42" s="2898"/>
      <c r="AC42" s="1882">
        <f>OFFSET(AC42,0,-2)+1</f>
        <v>5</v>
      </c>
      <c r="AD42" s="1938">
        <f>OFFSET(AD42,0,-1)+1</f>
        <v>6</v>
      </c>
      <c r="AE42" s="1938"/>
      <c r="AF42" s="1938">
        <f>OFFSET(AF42,0,-1)+1</f>
        <v>1</v>
      </c>
      <c r="AG42" s="1938">
        <f>OFFSET(AG42,0,-1)+1</f>
        <v>2</v>
      </c>
      <c r="AH42" s="1938">
        <f>OFFSET(AH42,0,-1)+1</f>
        <v>3</v>
      </c>
      <c r="AI42" s="2898">
        <f>OFFSET(AI42,0,-1)+1</f>
        <v>4</v>
      </c>
      <c r="AJ42" s="2898"/>
      <c r="AK42" s="1938">
        <f>OFFSET(AK42,0,-2)+1</f>
        <v>5</v>
      </c>
      <c r="AL42" s="1871">
        <f>OFFSET(AL42,0,-1)</f>
        <v>5</v>
      </c>
      <c r="AM42" s="1882">
        <f>OFFSET(AM42,0,-1)+1</f>
        <v>6</v>
      </c>
      <c r="AN42" s="1137"/>
      <c r="AO42" s="1137"/>
      <c r="AP42" s="1137"/>
      <c r="AQ42" s="1137"/>
      <c r="AR42" s="1137"/>
      <c r="AS42" s="1122">
        <v>0</v>
      </c>
    </row>
    <row customHeight="1" ht="24">
      <c r="A43" s="1989" t="s">
        <v>176</v>
      </c>
      <c r="B43" s="1989"/>
      <c r="C43" s="1989"/>
      <c r="D43" s="1989"/>
      <c r="E43" s="2884">
        <v>1</v>
      </c>
      <c r="F43" s="1989"/>
      <c r="G43" s="1989"/>
      <c r="H43" s="1989"/>
      <c r="I43" s="1989"/>
      <c r="J43" s="1989"/>
      <c r="K43" s="1989"/>
      <c r="L43" s="1990"/>
      <c r="M43" s="1991"/>
      <c r="N43" s="1991"/>
      <c r="O43" s="1991"/>
      <c r="P43" s="987"/>
      <c r="Q43" s="986"/>
      <c r="R43" s="981"/>
      <c r="S43" s="1850">
        <f>INDEX(PT_DIFFERENTIATION_NUM_NTAR,MATCH(A43,PT_DIFFERENTIATION_NTAR_ID,0))</f>
        <v>0</v>
      </c>
      <c r="T43" s="924" t="s">
        <v>143</v>
      </c>
      <c r="U43" s="926"/>
      <c r="V43" s="2868"/>
      <c r="W43" s="2869"/>
      <c r="X43" s="2869"/>
      <c r="Y43" s="2869"/>
      <c r="Z43" s="2869"/>
      <c r="AA43" s="2869"/>
      <c r="AB43" s="2869"/>
      <c r="AC43" s="2870"/>
      <c r="AD43" s="2868" t="str">
        <f>INDEX(PT_DIFFERENTIATION_NTAR,MATCH(A43,PT_DIFFERENTIATION_NTAR_ID,0))</f>
        <v/>
      </c>
      <c r="AE43" s="2869"/>
      <c r="AF43" s="2869"/>
      <c r="AG43" s="2869"/>
      <c r="AH43" s="2869"/>
      <c r="AI43" s="2869"/>
      <c r="AJ43" s="2869"/>
      <c r="AK43" s="2869"/>
      <c r="AL43" s="2870"/>
      <c r="AM43" s="18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26"/>
      <c r="AP43" s="1126" t="str">
        <f>IF(T43="","",T43)</f>
        <v>Наименование тарифа</v>
      </c>
      <c r="AQ43" s="1126"/>
      <c r="AR43" s="1126"/>
      <c r="AS43" s="1781">
        <v>23</v>
      </c>
    </row>
    <row customHeight="1" ht="24">
      <c r="A44" s="1989" t="s">
        <v>176</v>
      </c>
      <c r="B44" s="1989" t="s">
        <v>177</v>
      </c>
      <c r="C44" s="1989"/>
      <c r="D44" s="1989"/>
      <c r="E44" s="2885"/>
      <c r="F44" s="2884">
        <v>1</v>
      </c>
      <c r="G44" s="1989"/>
      <c r="H44" s="1989"/>
      <c r="I44" s="1989"/>
      <c r="J44" s="1989"/>
      <c r="K44" s="1989"/>
      <c r="L44" s="1990"/>
      <c r="M44" s="1991"/>
      <c r="N44" s="1991"/>
      <c r="O44" s="1991"/>
      <c r="P44" s="1148"/>
      <c r="Q44" s="978"/>
      <c r="R44" s="979"/>
      <c r="S44" s="1850" t="str">
        <f>INDEX(PT_DIFFERENTIATION_NUM_TER,MATCH(B44,PT_DIFFERENTIATION_TER_ID,0))</f>
        <v>.</v>
      </c>
      <c r="T44" s="934" t="s">
        <v>415</v>
      </c>
      <c r="U44" s="926"/>
      <c r="V44" s="2868"/>
      <c r="W44" s="2869"/>
      <c r="X44" s="2869"/>
      <c r="Y44" s="2869"/>
      <c r="Z44" s="2869"/>
      <c r="AA44" s="2869"/>
      <c r="AB44" s="2869"/>
      <c r="AC44" s="2870"/>
      <c r="AD44" s="2868" t="str">
        <f>INDEX(PT_DIFFERENTIATION_TER,MATCH(B44,PT_DIFFERENTIATION_TER_ID,0))</f>
        <v/>
      </c>
      <c r="AE44" s="2869"/>
      <c r="AF44" s="2869"/>
      <c r="AG44" s="2869"/>
      <c r="AH44" s="2869"/>
      <c r="AI44" s="2869"/>
      <c r="AJ44" s="2869"/>
      <c r="AK44" s="2869"/>
      <c r="AL44" s="2870"/>
      <c r="AM44" s="1884" t="s">
        <v>416</v>
      </c>
      <c r="AO44" s="1126"/>
      <c r="AP44" s="1126" t="str">
        <f>IF(T44="","",T44)</f>
        <v>Территория действия тарифа</v>
      </c>
      <c r="AQ44" s="1126"/>
      <c r="AR44" s="1126"/>
      <c r="AS44" s="1781">
        <v>23</v>
      </c>
    </row>
    <row customHeight="1" ht="24">
      <c r="A45" s="1989" t="s">
        <v>176</v>
      </c>
      <c r="B45" s="1989" t="s">
        <v>177</v>
      </c>
      <c r="C45" s="1989" t="s">
        <v>178</v>
      </c>
      <c r="D45" s="1989"/>
      <c r="E45" s="2885"/>
      <c r="F45" s="2885"/>
      <c r="G45" s="2884">
        <v>1</v>
      </c>
      <c r="H45" s="1989"/>
      <c r="I45" s="1989"/>
      <c r="J45" s="1989"/>
      <c r="K45" s="1989"/>
      <c r="L45" s="1990"/>
      <c r="M45" s="1991"/>
      <c r="N45" s="1991"/>
      <c r="O45" s="1991"/>
      <c r="P45" s="980"/>
      <c r="Q45" s="978"/>
      <c r="R45" s="979"/>
      <c r="S45" s="1850" t="str">
        <f>INDEX(PT_DIFFERENTIATION_NUM_CS,MATCH(C45,PT_DIFFERENTIATION_CS_ID,0))</f>
        <v>..</v>
      </c>
      <c r="T45" s="935" t="s">
        <v>417</v>
      </c>
      <c r="U45" s="926"/>
      <c r="V45" s="2868"/>
      <c r="W45" s="2869"/>
      <c r="X45" s="2869"/>
      <c r="Y45" s="2869"/>
      <c r="Z45" s="2869"/>
      <c r="AA45" s="2869"/>
      <c r="AB45" s="2869"/>
      <c r="AC45" s="2870"/>
      <c r="AD45" s="2868" t="str">
        <f>INDEX(PT_DIFFERENTIATION_CS,MATCH(C45,PT_DIFFERENTIATION_CS_ID,0))</f>
        <v/>
      </c>
      <c r="AE45" s="2869"/>
      <c r="AF45" s="2869"/>
      <c r="AG45" s="2869"/>
      <c r="AH45" s="2869"/>
      <c r="AI45" s="2869"/>
      <c r="AJ45" s="2869"/>
      <c r="AK45" s="2869"/>
      <c r="AL45" s="2870"/>
      <c r="AM45" s="1884" t="s">
        <v>418</v>
      </c>
      <c r="AO45" s="1126"/>
      <c r="AP45" s="1126" t="str">
        <f>IF(T45="","",T45)</f>
        <v>Наименование системы теплоснабжения </v>
      </c>
      <c r="AQ45" s="1126"/>
      <c r="AR45" s="1126"/>
      <c r="AS45" s="1781">
        <v>23</v>
      </c>
    </row>
    <row customHeight="1" ht="24">
      <c r="A46" s="1989" t="s">
        <v>176</v>
      </c>
      <c r="B46" s="1989" t="s">
        <v>177</v>
      </c>
      <c r="C46" s="1989" t="s">
        <v>178</v>
      </c>
      <c r="D46" s="1989" t="s">
        <v>179</v>
      </c>
      <c r="E46" s="2885"/>
      <c r="F46" s="2885"/>
      <c r="G46" s="2885"/>
      <c r="H46" s="2884">
        <v>1</v>
      </c>
      <c r="I46" s="1989"/>
      <c r="J46" s="1989"/>
      <c r="K46" s="1989"/>
      <c r="L46" s="1990"/>
      <c r="M46" s="1991"/>
      <c r="N46" s="1991"/>
      <c r="O46" s="1991"/>
      <c r="P46" s="980"/>
      <c r="Q46" s="978"/>
      <c r="R46" s="979"/>
      <c r="S46" s="1850" t="str">
        <f>INDEX(PT_DIFFERENTIATION_NUM_IST_TE,MATCH(D46,PT_DIFFERENTIATION_IST_TE_ID,0))</f>
        <v>...</v>
      </c>
      <c r="T46" s="936" t="s">
        <v>419</v>
      </c>
      <c r="U46" s="926"/>
      <c r="V46" s="2868"/>
      <c r="W46" s="2869"/>
      <c r="X46" s="2869"/>
      <c r="Y46" s="2869"/>
      <c r="Z46" s="2869"/>
      <c r="AA46" s="2869"/>
      <c r="AB46" s="2869"/>
      <c r="AC46" s="2870"/>
      <c r="AD46" s="2868" t="str">
        <f>INDEX(PT_DIFFERENTIATION_IST_TE,MATCH(D46,PT_DIFFERENTIATION_IST_TE_ID,0))</f>
        <v/>
      </c>
      <c r="AE46" s="2869"/>
      <c r="AF46" s="2869"/>
      <c r="AG46" s="2869"/>
      <c r="AH46" s="2869"/>
      <c r="AI46" s="2869"/>
      <c r="AJ46" s="2869"/>
      <c r="AK46" s="2869"/>
      <c r="AL46" s="2870"/>
      <c r="AM46" s="1884" t="s">
        <v>420</v>
      </c>
      <c r="AO46" s="1126"/>
      <c r="AP46" s="1126" t="str">
        <f>IF(T46="","",T46)</f>
        <v>Источник тепловой энергии  </v>
      </c>
      <c r="AQ46" s="1126"/>
      <c r="AR46" s="1126"/>
      <c r="AS46" s="1781">
        <v>23</v>
      </c>
    </row>
    <row customHeight="1" ht="49.5">
      <c r="A47" s="1989" t="s">
        <v>176</v>
      </c>
      <c r="B47" s="1989" t="s">
        <v>177</v>
      </c>
      <c r="C47" s="1989" t="s">
        <v>178</v>
      </c>
      <c r="D47" s="1989" t="s">
        <v>179</v>
      </c>
      <c r="E47" s="2885"/>
      <c r="F47" s="2885"/>
      <c r="G47" s="2885"/>
      <c r="H47" s="2885"/>
      <c r="I47" s="2882" t="str">
        <f>S46&amp;".1"</f>
        <v>....1</v>
      </c>
      <c r="J47" s="1989"/>
      <c r="K47" s="1989"/>
      <c r="L47" s="1990" t="s">
        <v>421</v>
      </c>
      <c r="P47" s="2883">
        <v>1</v>
      </c>
      <c r="Q47" s="1846"/>
      <c r="R47" s="982"/>
      <c r="S47" s="1850" t="str">
        <f>$I47</f>
        <v>....1</v>
      </c>
      <c r="T47" s="911" t="s">
        <v>422</v>
      </c>
      <c r="U47" s="926"/>
      <c r="V47" s="2871"/>
      <c r="W47" s="2872"/>
      <c r="X47" s="2872"/>
      <c r="Y47" s="2872"/>
      <c r="Z47" s="2872"/>
      <c r="AA47" s="2872"/>
      <c r="AB47" s="2872"/>
      <c r="AC47" s="2873"/>
      <c r="AD47" s="2871"/>
      <c r="AE47" s="2872"/>
      <c r="AF47" s="2872"/>
      <c r="AG47" s="2872"/>
      <c r="AH47" s="2872"/>
      <c r="AI47" s="2872"/>
      <c r="AJ47" s="2872"/>
      <c r="AK47" s="2872"/>
      <c r="AL47" s="2873"/>
      <c r="AM47" s="1884" t="s">
        <v>423</v>
      </c>
      <c r="AO47" s="1126"/>
      <c r="AP47" s="1126" t="str">
        <f>IF(T47="","",T47)</f>
        <v>Схема подключения теплопотребляющей установки к коллектору источника тепловой энергии</v>
      </c>
      <c r="AQ47" s="1126"/>
      <c r="AR47" s="1126"/>
      <c r="AS47" s="1781">
        <v>47</v>
      </c>
    </row>
    <row customHeight="1" ht="24">
      <c r="A48" s="1989" t="s">
        <v>176</v>
      </c>
      <c r="B48" s="1989" t="s">
        <v>177</v>
      </c>
      <c r="C48" s="1989" t="s">
        <v>178</v>
      </c>
      <c r="D48" s="1989" t="s">
        <v>179</v>
      </c>
      <c r="E48" s="2885"/>
      <c r="F48" s="2885"/>
      <c r="G48" s="2885"/>
      <c r="H48" s="2885"/>
      <c r="I48" s="2912"/>
      <c r="J48" s="2882" t="str">
        <f>I47&amp;".1"</f>
        <v>....1.1</v>
      </c>
      <c r="K48" s="1989"/>
      <c r="L48" s="1990" t="s">
        <v>424</v>
      </c>
      <c r="P48" s="2883"/>
      <c r="Q48" s="2883">
        <v>1</v>
      </c>
      <c r="R48" s="983"/>
      <c r="S48" s="1850" t="str">
        <f>$J48</f>
        <v>....1.1</v>
      </c>
      <c r="T48" s="912" t="s">
        <v>425</v>
      </c>
      <c r="U48" s="926"/>
      <c r="V48" s="2871"/>
      <c r="W48" s="2872"/>
      <c r="X48" s="2872"/>
      <c r="Y48" s="2872"/>
      <c r="Z48" s="2872"/>
      <c r="AA48" s="2872"/>
      <c r="AB48" s="2872"/>
      <c r="AC48" s="2873"/>
      <c r="AD48" s="2871"/>
      <c r="AE48" s="2872"/>
      <c r="AF48" s="2872"/>
      <c r="AG48" s="2872"/>
      <c r="AH48" s="2872"/>
      <c r="AI48" s="2872"/>
      <c r="AJ48" s="2872"/>
      <c r="AK48" s="2872"/>
      <c r="AL48" s="2873"/>
      <c r="AM48" s="1884" t="s">
        <v>426</v>
      </c>
      <c r="AO48" s="1126"/>
      <c r="AP48" s="1126" t="str">
        <f>IF(T48="","",T48)</f>
        <v>Группа потребителей</v>
      </c>
      <c r="AQ48" s="1126"/>
      <c r="AR48" s="1126"/>
      <c r="AS48" s="1781">
        <v>23</v>
      </c>
    </row>
    <row customHeight="1" ht="24">
      <c r="A49" s="1989" t="s">
        <v>176</v>
      </c>
      <c r="B49" s="1989" t="s">
        <v>177</v>
      </c>
      <c r="C49" s="1989" t="s">
        <v>178</v>
      </c>
      <c r="D49" s="1989" t="s">
        <v>179</v>
      </c>
      <c r="E49" s="2885"/>
      <c r="F49" s="2885"/>
      <c r="G49" s="2885"/>
      <c r="H49" s="2885"/>
      <c r="I49" s="2912"/>
      <c r="J49" s="2912"/>
      <c r="K49" s="2882" t="str">
        <f>J48&amp;".1"</f>
        <v>....1.1.1</v>
      </c>
      <c r="L49" s="1990" t="s">
        <v>427</v>
      </c>
      <c r="P49" s="2883"/>
      <c r="Q49" s="2883"/>
      <c r="R49" s="983">
        <v>1</v>
      </c>
      <c r="S49" s="1850" t="str">
        <f>$K49</f>
        <v>....1.1.1</v>
      </c>
      <c r="T49" s="1973"/>
      <c r="U49" s="926"/>
      <c r="V49" s="1377"/>
      <c r="W49" s="951"/>
      <c r="X49" s="1377"/>
      <c r="Y49" s="1883"/>
      <c r="Z49" s="2891"/>
      <c r="AA49" s="2733" t="s">
        <v>66</v>
      </c>
      <c r="AB49" s="2891"/>
      <c r="AC49" s="2733" t="s">
        <v>66</v>
      </c>
      <c r="AD49" s="1377"/>
      <c r="AE49" s="951"/>
      <c r="AF49" s="1377"/>
      <c r="AG49" s="1883"/>
      <c r="AH49" s="2891"/>
      <c r="AI49" s="2733" t="s">
        <v>66</v>
      </c>
      <c r="AJ49" s="2913"/>
      <c r="AK49" s="2733" t="s">
        <v>66</v>
      </c>
      <c r="AL49" s="1974"/>
      <c r="AM49" s="2879" t="s">
        <v>428</v>
      </c>
      <c r="AN49" s="1137">
        <f>STRCHECKDATE(V50:AL50)</f>
      </c>
      <c r="AO49" s="1126"/>
      <c r="AP49" s="1126" t="str">
        <f>IF(T49="","",T49)</f>
        <v/>
      </c>
      <c r="AQ49" s="1126"/>
      <c r="AR49" s="1126"/>
      <c r="AS49" s="1781">
        <v>23</v>
      </c>
    </row>
    <row customHeight="1" ht="1.05">
      <c r="A50" s="1989" t="s">
        <v>176</v>
      </c>
      <c r="B50" s="1989" t="s">
        <v>177</v>
      </c>
      <c r="C50" s="1989" t="s">
        <v>178</v>
      </c>
      <c r="D50" s="1989" t="s">
        <v>179</v>
      </c>
      <c r="E50" s="2885"/>
      <c r="F50" s="2885"/>
      <c r="G50" s="2885"/>
      <c r="H50" s="2885"/>
      <c r="I50" s="2912"/>
      <c r="J50" s="2912"/>
      <c r="K50" s="2882"/>
      <c r="L50" s="1990"/>
      <c r="P50" s="2883"/>
      <c r="Q50" s="2883"/>
      <c r="R50" s="983"/>
      <c r="S50" s="1849"/>
      <c r="T50" s="926"/>
      <c r="U50" s="926"/>
      <c r="V50" s="951"/>
      <c r="W50" s="951"/>
      <c r="X50" s="951"/>
      <c r="Y50" s="954" t="str">
        <f>Z49&amp;"-"&amp;AB49</f>
        <v>-</v>
      </c>
      <c r="Z50" s="2892"/>
      <c r="AA50" s="2733"/>
      <c r="AB50" s="2892"/>
      <c r="AC50" s="2733"/>
      <c r="AD50" s="951"/>
      <c r="AE50" s="951"/>
      <c r="AF50" s="951"/>
      <c r="AG50" s="954" t="str">
        <f>AH49&amp;"-"&amp;AJ49</f>
        <v>-</v>
      </c>
      <c r="AH50" s="2892"/>
      <c r="AI50" s="2733"/>
      <c r="AJ50" s="2914"/>
      <c r="AK50" s="2733"/>
      <c r="AL50" s="1975"/>
      <c r="AM50" s="2880"/>
      <c r="AO50" s="1126"/>
      <c r="AP50" s="1126" t="str">
        <f>IF(T50="","",T50)</f>
        <v/>
      </c>
      <c r="AQ50" s="1126"/>
      <c r="AR50" s="1126"/>
      <c r="AS50" s="1781">
        <v>1</v>
      </c>
    </row>
    <row customHeight="1" ht="11.549999999999999">
      <c r="A51" s="1989" t="s">
        <v>176</v>
      </c>
      <c r="B51" s="1989" t="s">
        <v>177</v>
      </c>
      <c r="C51" s="1989" t="s">
        <v>178</v>
      </c>
      <c r="D51" s="1989" t="s">
        <v>179</v>
      </c>
      <c r="E51" s="2885"/>
      <c r="F51" s="2885"/>
      <c r="G51" s="2885"/>
      <c r="H51" s="2885"/>
      <c r="I51" s="2912"/>
      <c r="J51" s="2882"/>
      <c r="K51" s="1989"/>
      <c r="L51" s="1990"/>
      <c r="P51" s="2883"/>
      <c r="Q51" s="2883"/>
      <c r="R51" s="982"/>
      <c r="S51" s="1904"/>
      <c r="T51" s="914" t="s">
        <v>429</v>
      </c>
      <c r="U51" s="993"/>
      <c r="V51" s="993"/>
      <c r="W51" s="993"/>
      <c r="X51" s="993"/>
      <c r="Y51" s="993"/>
      <c r="Z51" s="993"/>
      <c r="AA51" s="993"/>
      <c r="AB51" s="993"/>
      <c r="AC51" s="993"/>
      <c r="AD51" s="993"/>
      <c r="AE51" s="993"/>
      <c r="AF51" s="993"/>
      <c r="AG51" s="993"/>
      <c r="AH51" s="993"/>
      <c r="AI51" s="993"/>
      <c r="AJ51" s="993"/>
      <c r="AK51" s="993"/>
      <c r="AL51" s="950"/>
      <c r="AM51" s="2881"/>
      <c r="AO51" s="1126"/>
      <c r="AP51" s="1126" t="str">
        <f>IF(T51="","",T51)</f>
        <v>Добавить вид теплоносителя (параметры теплоносителя)</v>
      </c>
      <c r="AQ51" s="1126"/>
      <c r="AR51" s="1126"/>
      <c r="AS51" s="1781">
        <v>11</v>
      </c>
    </row>
    <row customHeight="1" ht="11.549999999999999">
      <c r="A52" s="1989" t="s">
        <v>176</v>
      </c>
      <c r="B52" s="1989" t="s">
        <v>177</v>
      </c>
      <c r="C52" s="1989" t="s">
        <v>178</v>
      </c>
      <c r="D52" s="1989" t="s">
        <v>179</v>
      </c>
      <c r="E52" s="2885"/>
      <c r="F52" s="2885"/>
      <c r="G52" s="2885"/>
      <c r="H52" s="2885"/>
      <c r="I52" s="2882"/>
      <c r="J52" s="1989"/>
      <c r="K52" s="1989"/>
      <c r="L52" s="1990"/>
      <c r="P52" s="2883"/>
      <c r="Q52" s="1846"/>
      <c r="R52" s="982"/>
      <c r="S52" s="1904"/>
      <c r="T52" s="913" t="s">
        <v>430</v>
      </c>
      <c r="U52" s="993"/>
      <c r="V52" s="993"/>
      <c r="W52" s="993"/>
      <c r="X52" s="993"/>
      <c r="Y52" s="993"/>
      <c r="Z52" s="993"/>
      <c r="AA52" s="993"/>
      <c r="AB52" s="993"/>
      <c r="AC52" s="992"/>
      <c r="AD52" s="993"/>
      <c r="AE52" s="993"/>
      <c r="AF52" s="993"/>
      <c r="AG52" s="993"/>
      <c r="AH52" s="993"/>
      <c r="AI52" s="993"/>
      <c r="AJ52" s="993"/>
      <c r="AK52" s="992"/>
      <c r="AL52" s="993"/>
      <c r="AM52" s="929"/>
      <c r="AO52" s="1126"/>
      <c r="AP52" s="1126" t="str">
        <f>IF(T52="","",T52)</f>
        <v>Добавить группу потребителей</v>
      </c>
      <c r="AQ52" s="1126"/>
      <c r="AR52" s="1126"/>
      <c r="AS52" s="1781">
        <v>11</v>
      </c>
    </row>
    <row customHeight="1" ht="14.699999999999998">
      <c r="A53" s="1989" t="s">
        <v>176</v>
      </c>
      <c r="B53" s="1989" t="s">
        <v>177</v>
      </c>
      <c r="C53" s="1989" t="s">
        <v>178</v>
      </c>
      <c r="D53" s="1989" t="s">
        <v>179</v>
      </c>
      <c r="E53" s="2885"/>
      <c r="F53" s="2885"/>
      <c r="G53" s="2885"/>
      <c r="H53" s="2884"/>
      <c r="I53" s="1989"/>
      <c r="J53" s="1989"/>
      <c r="K53" s="1989"/>
      <c r="L53" s="1990"/>
      <c r="M53" s="1991"/>
      <c r="N53" s="1991"/>
      <c r="O53" s="1163"/>
      <c r="P53" s="986"/>
      <c r="Q53" s="1001"/>
      <c r="R53" s="981"/>
      <c r="S53" s="1904"/>
      <c r="T53" s="991" t="s">
        <v>431</v>
      </c>
      <c r="U53" s="993"/>
      <c r="V53" s="993"/>
      <c r="W53" s="993"/>
      <c r="X53" s="993"/>
      <c r="Y53" s="993"/>
      <c r="Z53" s="993"/>
      <c r="AA53" s="993"/>
      <c r="AB53" s="993"/>
      <c r="AC53" s="992"/>
      <c r="AD53" s="993"/>
      <c r="AE53" s="993"/>
      <c r="AF53" s="993"/>
      <c r="AG53" s="993"/>
      <c r="AH53" s="993"/>
      <c r="AI53" s="993"/>
      <c r="AJ53" s="993"/>
      <c r="AK53" s="992"/>
      <c r="AL53" s="993"/>
      <c r="AM53" s="929"/>
      <c r="AO53" s="1126"/>
      <c r="AP53" s="1126" t="str">
        <f>IF(T53="","",T53)</f>
        <v>Добавить схему подключения</v>
      </c>
      <c r="AQ53" s="1126"/>
      <c r="AR53" s="1126"/>
      <c r="AS53" s="1781">
        <v>14</v>
      </c>
    </row>
    <row s="34658" customFormat="1" customHeight="1" ht="1.05">
      <c r="A54" s="1969" t="s">
        <v>176</v>
      </c>
      <c r="B54" s="1969" t="s">
        <v>177</v>
      </c>
      <c r="C54" s="1969" t="s">
        <v>178</v>
      </c>
      <c r="D54" s="1940"/>
      <c r="E54" s="2885"/>
      <c r="F54" s="2885"/>
      <c r="G54" s="2884"/>
      <c r="H54" s="1940"/>
      <c r="I54" s="1940"/>
      <c r="J54" s="1940"/>
      <c r="K54" s="1940"/>
      <c r="L54" s="1965"/>
      <c r="M54" s="1941"/>
      <c r="N54" s="1941"/>
      <c r="P54" s="1942"/>
      <c r="Q54" s="1943"/>
      <c r="R54" s="1942"/>
      <c r="S54" s="1948"/>
      <c r="T54" s="1951" t="s">
        <v>432</v>
      </c>
      <c r="U54" s="1950"/>
      <c r="V54" s="1950"/>
      <c r="W54" s="1950"/>
      <c r="X54" s="1950"/>
      <c r="Y54" s="1950"/>
      <c r="Z54" s="1950"/>
      <c r="AA54" s="1950"/>
      <c r="AB54" s="1950"/>
      <c r="AC54" s="1950"/>
      <c r="AD54" s="1950"/>
      <c r="AE54" s="1950"/>
      <c r="AF54" s="1950"/>
      <c r="AG54" s="1950"/>
      <c r="AH54" s="1950"/>
      <c r="AI54" s="1950"/>
      <c r="AJ54" s="1950"/>
      <c r="AK54" s="1950"/>
      <c r="AL54" s="1950"/>
      <c r="AM54" s="1950"/>
      <c r="AO54" s="1415"/>
      <c r="AP54" s="1415" t="str">
        <f>IF(T54="","",T54)</f>
        <v>Добавить источник для дифференциации</v>
      </c>
      <c r="AQ54" s="1415"/>
      <c r="AR54" s="1415"/>
      <c r="AS54" s="1144">
        <v>1</v>
      </c>
    </row>
    <row s="34658" customFormat="1" customHeight="1" ht="1.05">
      <c r="A55" s="1969" t="s">
        <v>176</v>
      </c>
      <c r="B55" s="1969" t="s">
        <v>177</v>
      </c>
      <c r="C55" s="1940"/>
      <c r="D55" s="1940"/>
      <c r="E55" s="2885"/>
      <c r="F55" s="2884"/>
      <c r="G55" s="1940"/>
      <c r="H55" s="1940"/>
      <c r="I55" s="1940"/>
      <c r="J55" s="1940"/>
      <c r="K55" s="1940"/>
      <c r="L55" s="1965"/>
      <c r="M55" s="1947"/>
      <c r="N55" s="1947"/>
      <c r="P55" s="1942"/>
      <c r="Q55" s="1943"/>
      <c r="R55" s="1942"/>
      <c r="S55" s="1948"/>
      <c r="T55" s="1951" t="s">
        <v>433</v>
      </c>
      <c r="U55" s="1950"/>
      <c r="V55" s="1950"/>
      <c r="W55" s="1950"/>
      <c r="X55" s="1950"/>
      <c r="Y55" s="1950"/>
      <c r="Z55" s="1950"/>
      <c r="AA55" s="1950"/>
      <c r="AB55" s="1950"/>
      <c r="AC55" s="1950"/>
      <c r="AD55" s="1950"/>
      <c r="AE55" s="1950"/>
      <c r="AF55" s="1950"/>
      <c r="AG55" s="1950"/>
      <c r="AH55" s="1950"/>
      <c r="AI55" s="1950"/>
      <c r="AJ55" s="1950"/>
      <c r="AK55" s="1950"/>
      <c r="AL55" s="1950"/>
      <c r="AM55" s="1950"/>
      <c r="AO55" s="1415"/>
      <c r="AP55" s="1415" t="str">
        <f>IF(T55="","",T55)</f>
        <v>Добавить централизованную систему для дифференциации</v>
      </c>
      <c r="AQ55" s="1415"/>
      <c r="AR55" s="1415"/>
      <c r="AS55" s="1144">
        <v>1</v>
      </c>
    </row>
    <row s="34658" customFormat="1" customHeight="1" ht="1.05">
      <c r="A56" s="1969" t="s">
        <v>176</v>
      </c>
      <c r="B56" s="1969"/>
      <c r="C56" s="1969"/>
      <c r="D56" s="1969"/>
      <c r="E56" s="2884"/>
      <c r="F56" s="1969"/>
      <c r="G56" s="1969"/>
      <c r="H56" s="1969"/>
      <c r="I56" s="1969"/>
      <c r="J56" s="1969"/>
      <c r="K56" s="1969"/>
      <c r="L56" s="1972"/>
      <c r="M56" s="1947"/>
      <c r="N56" s="1947"/>
      <c r="O56" s="1144"/>
      <c r="P56" s="1006"/>
      <c r="Q56" s="1970"/>
      <c r="R56" s="1006"/>
      <c r="S56" s="1948"/>
      <c r="T56" s="1951" t="s">
        <v>434</v>
      </c>
      <c r="U56" s="1950"/>
      <c r="V56" s="1950"/>
      <c r="W56" s="1950"/>
      <c r="X56" s="1950"/>
      <c r="Y56" s="1950"/>
      <c r="Z56" s="1950"/>
      <c r="AA56" s="1950"/>
      <c r="AB56" s="1950"/>
      <c r="AC56" s="1950"/>
      <c r="AD56" s="1950"/>
      <c r="AE56" s="1950"/>
      <c r="AF56" s="1950"/>
      <c r="AG56" s="1950"/>
      <c r="AH56" s="1950"/>
      <c r="AI56" s="1950"/>
      <c r="AJ56" s="1950"/>
      <c r="AK56" s="1950"/>
      <c r="AL56" s="1950"/>
      <c r="AM56" s="1950"/>
      <c r="AO56" s="1126"/>
      <c r="AP56" s="1126" t="str">
        <f>IF(T56="","",T56)</f>
        <v>Добавить территорию для дифференциации</v>
      </c>
      <c r="AQ56" s="1126"/>
      <c r="AR56" s="1126"/>
      <c r="AS56" s="1137">
        <v>1</v>
      </c>
    </row>
    <row s="34658" customFormat="1" customHeight="1" ht="1.05">
      <c r="A57" s="1940"/>
      <c r="B57" s="1940"/>
      <c r="C57" s="1940"/>
      <c r="D57" s="1940"/>
      <c r="E57" s="1969"/>
      <c r="F57" s="1940"/>
      <c r="G57" s="1940"/>
      <c r="H57" s="1940"/>
      <c r="I57" s="1940"/>
      <c r="J57" s="1940"/>
      <c r="K57" s="1940"/>
      <c r="L57" s="1965"/>
      <c r="M57" s="1947"/>
      <c r="N57" s="1947"/>
      <c r="P57" s="1942"/>
      <c r="Q57" s="1943"/>
      <c r="R57" s="1942"/>
      <c r="S57" s="1948"/>
      <c r="T57" s="1951" t="s">
        <v>466</v>
      </c>
      <c r="U57" s="1950"/>
      <c r="V57" s="1950"/>
      <c r="W57" s="1950"/>
      <c r="X57" s="1950"/>
      <c r="Y57" s="1950"/>
      <c r="Z57" s="1950"/>
      <c r="AA57" s="1950"/>
      <c r="AB57" s="1950"/>
      <c r="AC57" s="1950"/>
      <c r="AD57" s="1950"/>
      <c r="AE57" s="1950"/>
      <c r="AF57" s="1950"/>
      <c r="AG57" s="1950"/>
      <c r="AH57" s="1950"/>
      <c r="AI57" s="1950"/>
      <c r="AJ57" s="1950"/>
      <c r="AK57" s="1950"/>
      <c r="AL57" s="1950"/>
      <c r="AM57" s="1950"/>
      <c r="AO57" s="1415"/>
      <c r="AP57" s="1415" t="str">
        <f>IF(T57="","",T57)</f>
        <v>Добавить наименование тарифа</v>
      </c>
      <c r="AQ57" s="1415"/>
      <c r="AR57" s="1415"/>
      <c r="AS57" s="1144">
        <v>1</v>
      </c>
    </row>
    <row customHeight="1" ht="11.549999999999999">
      <c r="M58" s="1786"/>
      <c r="N58" s="1786"/>
      <c r="O58" s="1163"/>
      <c r="P58" s="1781"/>
      <c r="Q58" s="1781"/>
      <c r="R58" s="1781"/>
      <c r="S58" s="1781"/>
      <c r="AN58" s="1781"/>
      <c r="AO58" s="1781"/>
      <c r="AP58" s="1781"/>
      <c r="AQ58" s="1781"/>
      <c r="AR58" s="1781"/>
      <c r="AS58" s="1781">
        <v>11</v>
      </c>
    </row>
    <row customHeight="1" ht="28.5">
      <c r="O59" s="1163"/>
      <c r="S59" s="1879"/>
      <c r="T59" s="2911"/>
      <c r="U59" s="2911"/>
      <c r="V59" s="2911"/>
      <c r="W59" s="2911"/>
      <c r="X59" s="2911"/>
      <c r="Y59" s="2911"/>
      <c r="Z59" s="2911"/>
      <c r="AA59" s="2911"/>
      <c r="AB59" s="2911"/>
      <c r="AC59" s="2911"/>
      <c r="AD59" s="2911"/>
      <c r="AE59" s="2911"/>
      <c r="AF59" s="2911"/>
      <c r="AG59" s="2911"/>
      <c r="AH59" s="2911"/>
      <c r="AI59" s="2911"/>
      <c r="AJ59" s="2911"/>
      <c r="AK59" s="2911"/>
      <c r="AL59" s="2911"/>
      <c r="AM59" s="2911"/>
      <c r="AS59" s="1781">
        <v>27</v>
      </c>
    </row>
    <row customHeight="1" ht="67.2">
      <c r="O60" s="1163"/>
      <c r="P60" s="1929"/>
      <c r="T60" s="2911"/>
      <c r="U60" s="2911"/>
      <c r="V60" s="2911"/>
      <c r="W60" s="2911"/>
      <c r="X60" s="2911"/>
      <c r="Y60" s="2911"/>
      <c r="Z60" s="2911"/>
      <c r="AA60" s="2911"/>
      <c r="AB60" s="2911"/>
      <c r="AC60" s="2911"/>
      <c r="AD60" s="2911"/>
      <c r="AE60" s="2911"/>
      <c r="AF60" s="2911"/>
      <c r="AG60" s="2911"/>
      <c r="AH60" s="2911"/>
      <c r="AI60" s="2911"/>
      <c r="AJ60" s="2911"/>
      <c r="AK60" s="2911"/>
      <c r="AL60" s="2911"/>
      <c r="AM60" s="2911"/>
      <c r="AS60" s="1781">
        <v>64</v>
      </c>
    </row>
    <row customHeight="1" ht="14.699999999999998">
      <c r="O61" s="1163"/>
      <c r="AS61" s="1781">
        <v>14</v>
      </c>
    </row>
    <row customHeight="1" ht="18.75">
      <c r="O62" s="1163"/>
      <c r="P62" s="1954"/>
      <c r="S62" s="1879"/>
      <c r="T62" s="2911"/>
      <c r="U62" s="2911"/>
      <c r="V62" s="2911"/>
      <c r="W62" s="2911"/>
      <c r="X62" s="2911"/>
      <c r="Y62" s="2911"/>
      <c r="Z62" s="2911"/>
      <c r="AA62" s="2911"/>
      <c r="AB62" s="2911"/>
      <c r="AC62" s="2911"/>
      <c r="AD62" s="2911"/>
      <c r="AE62" s="2911"/>
      <c r="AF62" s="2911"/>
      <c r="AG62" s="2911"/>
      <c r="AH62" s="2911"/>
      <c r="AI62" s="2911"/>
      <c r="AJ62" s="2911"/>
      <c r="AK62" s="2911"/>
      <c r="AL62" s="2911"/>
      <c r="AM62" s="2911"/>
      <c r="AS62" s="1781">
        <v>18</v>
      </c>
    </row>
    <row customHeight="1" ht="18.75">
      <c r="O63" s="1163"/>
      <c r="P63" s="1954"/>
      <c r="T63" s="2911"/>
      <c r="U63" s="2911"/>
      <c r="V63" s="2911"/>
      <c r="W63" s="2911"/>
      <c r="X63" s="2911"/>
      <c r="Y63" s="2911"/>
      <c r="Z63" s="2911"/>
      <c r="AA63" s="2911"/>
      <c r="AB63" s="2911"/>
      <c r="AC63" s="2911"/>
      <c r="AD63" s="2911"/>
      <c r="AE63" s="2911"/>
      <c r="AF63" s="2911"/>
      <c r="AG63" s="2911"/>
      <c r="AH63" s="2911"/>
      <c r="AI63" s="2911"/>
      <c r="AJ63" s="2911"/>
      <c r="AK63" s="2911"/>
      <c r="AL63" s="2911"/>
      <c r="AM63" s="2911"/>
      <c r="AS63" s="1781">
        <v>18</v>
      </c>
    </row>
    <row customHeight="1" ht="29.25">
      <c r="O64" s="1163"/>
      <c r="P64" s="1954"/>
      <c r="S64" s="1879"/>
      <c r="T64" s="2911"/>
      <c r="U64" s="2911"/>
      <c r="V64" s="2911"/>
      <c r="W64" s="2911"/>
      <c r="X64" s="2911"/>
      <c r="Y64" s="2911"/>
      <c r="Z64" s="2911"/>
      <c r="AA64" s="2911"/>
      <c r="AB64" s="2911"/>
      <c r="AC64" s="2911"/>
      <c r="AD64" s="2911"/>
      <c r="AE64" s="2911"/>
      <c r="AF64" s="2911"/>
      <c r="AG64" s="2911"/>
      <c r="AH64" s="2911"/>
      <c r="AI64" s="2911"/>
      <c r="AJ64" s="2911"/>
      <c r="AK64" s="2911"/>
      <c r="AL64" s="2911"/>
      <c r="AM64" s="2911"/>
      <c r="AS64" s="1781">
        <v>28</v>
      </c>
    </row>
    <row customHeight="1" ht="22.5" hidden="1">
      <c r="A65" s="1786" t="s">
        <v>82</v>
      </c>
      <c r="B65" s="1786">
        <v>0</v>
      </c>
      <c r="C65" s="1786">
        <v>0</v>
      </c>
      <c r="D65" s="1786">
        <v>0</v>
      </c>
      <c r="E65" s="1786">
        <v>0</v>
      </c>
      <c r="F65" s="1786">
        <v>0</v>
      </c>
      <c r="G65" s="1786">
        <v>0</v>
      </c>
      <c r="H65" s="1786">
        <v>0</v>
      </c>
      <c r="I65" s="1786">
        <v>0</v>
      </c>
      <c r="J65" s="1786">
        <v>0</v>
      </c>
      <c r="K65" s="1786">
        <v>0</v>
      </c>
      <c r="L65" s="1955">
        <v>0</v>
      </c>
      <c r="M65" s="1988">
        <v>0</v>
      </c>
      <c r="N65" s="1988">
        <v>0</v>
      </c>
      <c r="O65" s="1988">
        <v>0</v>
      </c>
      <c r="P65" s="1844">
        <v>3</v>
      </c>
      <c r="Q65" s="970">
        <v>3</v>
      </c>
      <c r="R65" s="970">
        <v>3</v>
      </c>
      <c r="S65" s="1207">
        <v>12</v>
      </c>
      <c r="T65" s="1781">
        <v>35</v>
      </c>
      <c r="U65" s="1781">
        <v>0</v>
      </c>
      <c r="V65" s="1781">
        <v>0</v>
      </c>
      <c r="W65" s="1781">
        <v>0</v>
      </c>
      <c r="X65" s="1781">
        <v>0</v>
      </c>
      <c r="Y65" s="1781">
        <v>0</v>
      </c>
      <c r="Z65" s="1781">
        <v>0</v>
      </c>
      <c r="AA65" s="1781">
        <v>0</v>
      </c>
      <c r="AB65" s="1781">
        <v>0</v>
      </c>
      <c r="AC65" s="1781">
        <v>0</v>
      </c>
      <c r="AD65" s="1781">
        <v>24</v>
      </c>
      <c r="AE65" s="1781">
        <v>0</v>
      </c>
      <c r="AF65" s="1781">
        <v>24</v>
      </c>
      <c r="AG65" s="1781">
        <v>24</v>
      </c>
      <c r="AH65" s="1781">
        <v>11</v>
      </c>
      <c r="AI65" s="1781">
        <v>3</v>
      </c>
      <c r="AJ65" s="1781">
        <v>11</v>
      </c>
      <c r="AK65" s="1781">
        <v>0</v>
      </c>
      <c r="AL65" s="1781">
        <v>4</v>
      </c>
      <c r="AM65" s="1781">
        <v>115</v>
      </c>
      <c r="AN65" s="1137">
        <v>10</v>
      </c>
      <c r="AO65" s="1137">
        <v>10</v>
      </c>
      <c r="AP65" s="1137">
        <v>10</v>
      </c>
      <c r="AQ65" s="1137">
        <v>10</v>
      </c>
      <c r="AR65" s="1137">
        <v>10</v>
      </c>
      <c r="AS65" s="1781">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52A8ED-E9C5-0DBF-C21E-8E57F6B3D35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2.00390625" hidden="1" customWidth="1"/>
    <col min="10" max="10" style="34657" width="9.8515625" hidden="1" customWidth="1"/>
    <col min="11" max="11" style="34657" width="11.4218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1.00390625" customWidth="1"/>
    <col min="21" max="21" style="34580" width="0.140625" customWidth="1"/>
    <col min="22" max="22" style="34580" width="24.7109375" hidden="1" customWidth="1"/>
    <col min="23" max="23" style="34580" width="0.140625" hidden="1" customWidth="1"/>
    <col min="24" max="25" style="34580" width="24.710937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24.7109375" customWidth="1"/>
    <col min="31" max="31" style="34580" width="0.140625" customWidth="1"/>
    <col min="32" max="33" style="34580" width="24.00390625" customWidth="1"/>
    <col min="34" max="34" style="34580" width="11.00390625" customWidth="1"/>
    <col min="35" max="35" style="34580" width="3.7109375" customWidth="1"/>
    <col min="36" max="36" style="34580" width="11.00390625" customWidth="1"/>
    <col min="37" max="37" style="34580" width="8.57421875" hidden="1" customWidth="1"/>
    <col min="38" max="38" style="34580" width="4.00390625" customWidth="1"/>
    <col min="39" max="39" style="34580" width="115.00390625" customWidth="1"/>
    <col min="40" max="44" style="34658" width="10.00390625" customWidth="1"/>
    <col min="45" max="45" style="34580" width="10.57421875" hidden="1"/>
  </cols>
  <sheetData>
    <row customHeight="1" ht="22.5" hidden="1">
      <c r="Y1" s="953"/>
      <c r="Z1" s="953"/>
      <c r="AG1" s="953"/>
      <c r="AH1" s="953"/>
      <c r="AS1" s="1781" t="s">
        <v>14</v>
      </c>
    </row>
    <row customHeight="1" ht="21" hidden="1">
      <c r="A2" s="1989"/>
      <c r="B2" s="1989"/>
      <c r="C2" s="1989"/>
      <c r="D2" s="1989"/>
      <c r="E2" s="2884">
        <v>1</v>
      </c>
      <c r="F2" s="1989"/>
      <c r="G2" s="1989"/>
      <c r="H2" s="1989"/>
      <c r="I2" s="1989"/>
      <c r="J2" s="1989"/>
      <c r="K2" s="1989"/>
      <c r="L2" s="1990"/>
      <c r="M2" s="1991"/>
      <c r="N2" s="1991"/>
      <c r="O2" s="1991"/>
      <c r="P2" s="987"/>
      <c r="Q2" s="986"/>
      <c r="R2" s="981"/>
      <c r="S2" s="1962">
        <f>INDEX(PT_DIFFERENTIATION_NUM_NTAR,MATCH(A2,PT_DIFFERENTIATION_NTAR_ID,0))</f>
      </c>
      <c r="T2" s="924" t="s">
        <v>143</v>
      </c>
      <c r="U2" s="926"/>
      <c r="V2" s="2868"/>
      <c r="W2" s="2869"/>
      <c r="X2" s="2869"/>
      <c r="Y2" s="2869"/>
      <c r="Z2" s="2869"/>
      <c r="AA2" s="2869"/>
      <c r="AB2" s="2869"/>
      <c r="AC2" s="2870"/>
      <c r="AD2" s="2868">
        <f>INDEX(PT_DIFFERENTIATION_NTAR,MATCH(A2,PT_DIFFERENTIATION_NTAR_ID,0))</f>
      </c>
      <c r="AE2" s="2869"/>
      <c r="AF2" s="2869"/>
      <c r="AG2" s="2869"/>
      <c r="AH2" s="2869"/>
      <c r="AI2" s="2869"/>
      <c r="AJ2" s="2869"/>
      <c r="AK2" s="2869"/>
      <c r="AL2" s="2870"/>
      <c r="AM2" s="1884" t="s">
        <v>414</v>
      </c>
      <c r="AO2" s="1126"/>
      <c r="AP2" s="1126" t="str">
        <f>IF(T2="","",T2)</f>
        <v>Наименование тарифа</v>
      </c>
      <c r="AQ2" s="1126"/>
      <c r="AR2" s="1126"/>
      <c r="AS2" s="1781">
        <v>0</v>
      </c>
    </row>
    <row customHeight="1" ht="21" hidden="1">
      <c r="A3" s="1989"/>
      <c r="B3" s="1989"/>
      <c r="C3" s="1989"/>
      <c r="D3" s="1989"/>
      <c r="E3" s="2885"/>
      <c r="F3" s="2884">
        <v>1</v>
      </c>
      <c r="G3" s="1989"/>
      <c r="H3" s="1989"/>
      <c r="I3" s="1989"/>
      <c r="J3" s="1989"/>
      <c r="K3" s="1989"/>
      <c r="L3" s="1990"/>
      <c r="M3" s="1991"/>
      <c r="N3" s="1991"/>
      <c r="O3" s="1991"/>
      <c r="P3" s="1958"/>
      <c r="Q3" s="978"/>
      <c r="R3" s="979"/>
      <c r="S3" s="1962">
        <f>INDEX(PT_DIFFERENTIATION_NUM_TER,MATCH(B3,PT_DIFFERENTIATION_TER_ID,0))</f>
      </c>
      <c r="T3" s="934" t="s">
        <v>415</v>
      </c>
      <c r="U3" s="926"/>
      <c r="V3" s="2868"/>
      <c r="W3" s="2869"/>
      <c r="X3" s="2869"/>
      <c r="Y3" s="2869"/>
      <c r="Z3" s="2869"/>
      <c r="AA3" s="2869"/>
      <c r="AB3" s="2869"/>
      <c r="AC3" s="2870"/>
      <c r="AD3" s="2868">
        <f>INDEX(PT_DIFFERENTIATION_TER,MATCH(B3,PT_DIFFERENTIATION_TER_ID,0))</f>
      </c>
      <c r="AE3" s="2869"/>
      <c r="AF3" s="2869"/>
      <c r="AG3" s="2869"/>
      <c r="AH3" s="2869"/>
      <c r="AI3" s="2869"/>
      <c r="AJ3" s="2869"/>
      <c r="AK3" s="2869"/>
      <c r="AL3" s="2870"/>
      <c r="AM3" s="1884" t="s">
        <v>416</v>
      </c>
      <c r="AO3" s="1126"/>
      <c r="AP3" s="1126" t="str">
        <f>IF(T3="","",T3)</f>
        <v>Территория действия тарифа</v>
      </c>
      <c r="AQ3" s="1126"/>
      <c r="AR3" s="1126"/>
      <c r="AS3" s="1781">
        <v>0</v>
      </c>
    </row>
    <row customHeight="1" ht="23.25" hidden="1">
      <c r="A4" s="1989"/>
      <c r="B4" s="1989"/>
      <c r="C4" s="1989"/>
      <c r="D4" s="1989"/>
      <c r="E4" s="2885"/>
      <c r="F4" s="2885"/>
      <c r="G4" s="2884">
        <v>1</v>
      </c>
      <c r="H4" s="1989"/>
      <c r="I4" s="1989"/>
      <c r="J4" s="1989"/>
      <c r="K4" s="1989"/>
      <c r="L4" s="1990"/>
      <c r="M4" s="1991"/>
      <c r="N4" s="1991"/>
      <c r="O4" s="1991"/>
      <c r="P4" s="980"/>
      <c r="Q4" s="978"/>
      <c r="R4" s="979"/>
      <c r="S4" s="1962">
        <f>INDEX(PT_DIFFERENTIATION_NUM_CS,MATCH(C4,PT_DIFFERENTIATION_CS_ID,0))</f>
      </c>
      <c r="T4" s="935" t="s">
        <v>417</v>
      </c>
      <c r="U4" s="926"/>
      <c r="V4" s="2868"/>
      <c r="W4" s="2869"/>
      <c r="X4" s="2869"/>
      <c r="Y4" s="2869"/>
      <c r="Z4" s="2869"/>
      <c r="AA4" s="2869"/>
      <c r="AB4" s="2869"/>
      <c r="AC4" s="2870"/>
      <c r="AD4" s="2868">
        <f>INDEX(PT_DIFFERENTIATION_CS,MATCH(C4,PT_DIFFERENTIATION_CS_ID,0))</f>
      </c>
      <c r="AE4" s="2869"/>
      <c r="AF4" s="2869"/>
      <c r="AG4" s="2869"/>
      <c r="AH4" s="2869"/>
      <c r="AI4" s="2869"/>
      <c r="AJ4" s="2869"/>
      <c r="AK4" s="2869"/>
      <c r="AL4" s="2870"/>
      <c r="AM4" s="1884" t="s">
        <v>418</v>
      </c>
      <c r="AO4" s="1126"/>
      <c r="AP4" s="1126" t="str">
        <f>IF(T4="","",T4)</f>
        <v>Наименование системы теплоснабжения </v>
      </c>
      <c r="AQ4" s="1126"/>
      <c r="AR4" s="1126"/>
      <c r="AS4" s="1781">
        <v>0</v>
      </c>
    </row>
    <row customHeight="1" ht="21" hidden="1">
      <c r="A5" s="1989"/>
      <c r="B5" s="1989"/>
      <c r="C5" s="1989"/>
      <c r="D5" s="1989"/>
      <c r="E5" s="2885"/>
      <c r="F5" s="2885"/>
      <c r="G5" s="2885"/>
      <c r="H5" s="2884">
        <v>1</v>
      </c>
      <c r="I5" s="1989"/>
      <c r="J5" s="1989"/>
      <c r="K5" s="1989"/>
      <c r="L5" s="1990"/>
      <c r="M5" s="1991"/>
      <c r="N5" s="1991"/>
      <c r="O5" s="1991"/>
      <c r="P5" s="980"/>
      <c r="Q5" s="978"/>
      <c r="R5" s="979"/>
      <c r="S5" s="1962">
        <f>INDEX(PT_DIFFERENTIATION_NUM_IST_TE,MATCH(D5,PT_DIFFERENTIATION_IST_TE_ID,0))</f>
      </c>
      <c r="T5" s="936" t="s">
        <v>419</v>
      </c>
      <c r="U5" s="926"/>
      <c r="V5" s="2868"/>
      <c r="W5" s="2869"/>
      <c r="X5" s="2869"/>
      <c r="Y5" s="2869"/>
      <c r="Z5" s="2869"/>
      <c r="AA5" s="2869"/>
      <c r="AB5" s="2869"/>
      <c r="AC5" s="2870"/>
      <c r="AD5" s="2868">
        <f>INDEX(PT_DIFFERENTIATION_IST_TE,MATCH(D5,PT_DIFFERENTIATION_IST_TE_ID,0))</f>
      </c>
      <c r="AE5" s="2869"/>
      <c r="AF5" s="2869"/>
      <c r="AG5" s="2869"/>
      <c r="AH5" s="2869"/>
      <c r="AI5" s="2869"/>
      <c r="AJ5" s="2869"/>
      <c r="AK5" s="2869"/>
      <c r="AL5" s="2870"/>
      <c r="AM5" s="1884" t="s">
        <v>420</v>
      </c>
      <c r="AO5" s="1126"/>
      <c r="AP5" s="1126" t="str">
        <f>IF(T5="","",T5)</f>
        <v>Источник тепловой энергии  </v>
      </c>
      <c r="AQ5" s="1126"/>
      <c r="AR5" s="1126"/>
      <c r="AS5" s="1781">
        <v>0</v>
      </c>
    </row>
    <row customHeight="1" ht="47.25" hidden="1">
      <c r="A6" s="1989"/>
      <c r="B6" s="1989"/>
      <c r="C6" s="1989"/>
      <c r="D6" s="1989"/>
      <c r="E6" s="2885"/>
      <c r="F6" s="2885"/>
      <c r="G6" s="2885"/>
      <c r="H6" s="2885"/>
      <c r="I6" s="2882">
        <f>S5&amp;".1"</f>
      </c>
      <c r="J6" s="1989"/>
      <c r="K6" s="1989"/>
      <c r="L6" s="1990" t="s">
        <v>421</v>
      </c>
      <c r="M6" s="1163"/>
      <c r="P6" s="2883">
        <v>1</v>
      </c>
      <c r="Q6" s="1957"/>
      <c r="R6" s="982"/>
      <c r="S6" s="1962">
        <f>$I6</f>
      </c>
      <c r="T6" s="911" t="s">
        <v>422</v>
      </c>
      <c r="U6" s="926"/>
      <c r="V6" s="2871"/>
      <c r="W6" s="2872"/>
      <c r="X6" s="2872"/>
      <c r="Y6" s="2872"/>
      <c r="Z6" s="2872"/>
      <c r="AA6" s="2872"/>
      <c r="AB6" s="2872"/>
      <c r="AC6" s="2873"/>
      <c r="AD6" s="2871"/>
      <c r="AE6" s="2872"/>
      <c r="AF6" s="2872"/>
      <c r="AG6" s="2872"/>
      <c r="AH6" s="2872"/>
      <c r="AI6" s="2872"/>
      <c r="AJ6" s="2872"/>
      <c r="AK6" s="2872"/>
      <c r="AL6" s="2873"/>
      <c r="AM6" s="1884" t="s">
        <v>423</v>
      </c>
      <c r="AO6" s="1126"/>
      <c r="AP6" s="1126" t="str">
        <f>IF(T6="","",T6)</f>
        <v>Схема подключения теплопотребляющей установки к коллектору источника тепловой энергии</v>
      </c>
      <c r="AQ6" s="1126"/>
      <c r="AR6" s="1126"/>
      <c r="AS6" s="1781">
        <v>0</v>
      </c>
    </row>
    <row customHeight="1" ht="21" hidden="1">
      <c r="A7" s="1989"/>
      <c r="B7" s="1989"/>
      <c r="C7" s="1989"/>
      <c r="D7" s="1989"/>
      <c r="E7" s="2885"/>
      <c r="F7" s="2885"/>
      <c r="G7" s="2885"/>
      <c r="H7" s="2885"/>
      <c r="I7" s="2912"/>
      <c r="J7" s="2882">
        <f>I6&amp;".1"</f>
      </c>
      <c r="K7" s="1989"/>
      <c r="L7" s="1990" t="s">
        <v>424</v>
      </c>
      <c r="M7" s="1163"/>
      <c r="N7" s="1992"/>
      <c r="P7" s="2883"/>
      <c r="Q7" s="2883">
        <v>1</v>
      </c>
      <c r="R7" s="983"/>
      <c r="S7" s="1962">
        <f>$J7</f>
      </c>
      <c r="T7" s="912" t="s">
        <v>425</v>
      </c>
      <c r="U7" s="926"/>
      <c r="V7" s="2871"/>
      <c r="W7" s="2872"/>
      <c r="X7" s="2872"/>
      <c r="Y7" s="2872"/>
      <c r="Z7" s="2872"/>
      <c r="AA7" s="2872"/>
      <c r="AB7" s="2872"/>
      <c r="AC7" s="2873"/>
      <c r="AD7" s="2871"/>
      <c r="AE7" s="2872"/>
      <c r="AF7" s="2872"/>
      <c r="AG7" s="2872"/>
      <c r="AH7" s="2872"/>
      <c r="AI7" s="2872"/>
      <c r="AJ7" s="2872"/>
      <c r="AK7" s="2872"/>
      <c r="AL7" s="2873"/>
      <c r="AM7" s="1884" t="s">
        <v>426</v>
      </c>
      <c r="AO7" s="1126"/>
      <c r="AP7" s="1126" t="str">
        <f>IF(T7="","",T7)</f>
        <v>Группа потребителей</v>
      </c>
      <c r="AQ7" s="1126"/>
      <c r="AR7" s="1126"/>
      <c r="AS7" s="1781">
        <v>0</v>
      </c>
    </row>
    <row customHeight="1" ht="21" hidden="1">
      <c r="A8" s="1989"/>
      <c r="B8" s="1989"/>
      <c r="C8" s="1989"/>
      <c r="D8" s="1989"/>
      <c r="E8" s="2885"/>
      <c r="F8" s="2885"/>
      <c r="G8" s="2885"/>
      <c r="H8" s="2885"/>
      <c r="I8" s="2912"/>
      <c r="J8" s="2912"/>
      <c r="K8" s="2882">
        <f>J7&amp;".1"</f>
      </c>
      <c r="L8" s="1990" t="s">
        <v>427</v>
      </c>
      <c r="M8" s="1163"/>
      <c r="N8" s="1992"/>
      <c r="O8" s="1992"/>
      <c r="P8" s="2883"/>
      <c r="Q8" s="2883"/>
      <c r="R8" s="983">
        <v>1</v>
      </c>
      <c r="S8" s="1962">
        <f>$K8</f>
      </c>
      <c r="T8" s="1973"/>
      <c r="U8" s="926"/>
      <c r="V8" s="1377"/>
      <c r="W8" s="951"/>
      <c r="X8" s="1377"/>
      <c r="Y8" s="1883"/>
      <c r="Z8" s="2891"/>
      <c r="AA8" s="2733" t="s">
        <v>66</v>
      </c>
      <c r="AB8" s="2891"/>
      <c r="AC8" s="2733" t="s">
        <v>66</v>
      </c>
      <c r="AD8" s="1377"/>
      <c r="AE8" s="951"/>
      <c r="AF8" s="1377"/>
      <c r="AG8" s="1883"/>
      <c r="AH8" s="2891"/>
      <c r="AI8" s="2733" t="s">
        <v>66</v>
      </c>
      <c r="AJ8" s="2891"/>
      <c r="AK8" s="2733" t="s">
        <v>66</v>
      </c>
      <c r="AL8" s="951"/>
      <c r="AM8" s="2879" t="s">
        <v>428</v>
      </c>
      <c r="AN8" s="1137">
        <f>STRCHECKDATE(V9:AL9)</f>
      </c>
      <c r="AO8" s="1126"/>
      <c r="AP8" s="1126" t="str">
        <f>IF(T8="","",T8)</f>
        <v/>
      </c>
      <c r="AQ8" s="1126"/>
      <c r="AR8" s="1126"/>
      <c r="AS8" s="1781">
        <v>0</v>
      </c>
    </row>
    <row customHeight="1" ht="0.75" hidden="1">
      <c r="A9" s="1989"/>
      <c r="B9" s="1989"/>
      <c r="C9" s="1989"/>
      <c r="D9" s="1989"/>
      <c r="E9" s="2885"/>
      <c r="F9" s="2885"/>
      <c r="G9" s="2885"/>
      <c r="H9" s="2885"/>
      <c r="I9" s="2912"/>
      <c r="J9" s="2912"/>
      <c r="K9" s="2882"/>
      <c r="L9" s="1990"/>
      <c r="M9" s="1163"/>
      <c r="N9" s="1992"/>
      <c r="O9" s="1992"/>
      <c r="P9" s="2883"/>
      <c r="Q9" s="2883"/>
      <c r="R9" s="983"/>
      <c r="S9" s="1968"/>
      <c r="T9" s="926"/>
      <c r="U9" s="926"/>
      <c r="V9" s="951"/>
      <c r="W9" s="951"/>
      <c r="X9" s="951"/>
      <c r="Y9" s="954" t="str">
        <f>Z8&amp;"-"&amp;AB8</f>
        <v>-</v>
      </c>
      <c r="Z9" s="2892"/>
      <c r="AA9" s="2733"/>
      <c r="AB9" s="2892"/>
      <c r="AC9" s="2733"/>
      <c r="AD9" s="951"/>
      <c r="AE9" s="951"/>
      <c r="AF9" s="951"/>
      <c r="AG9" s="954" t="str">
        <f>AH8&amp;"-"&amp;AJ8</f>
        <v>-</v>
      </c>
      <c r="AH9" s="2892"/>
      <c r="AI9" s="2733"/>
      <c r="AJ9" s="2892"/>
      <c r="AK9" s="2733"/>
      <c r="AL9" s="951"/>
      <c r="AM9" s="2880"/>
      <c r="AO9" s="1126"/>
      <c r="AP9" s="1126" t="str">
        <f>IF(T9="","",T9)</f>
        <v/>
      </c>
      <c r="AQ9" s="1126"/>
      <c r="AR9" s="1126"/>
      <c r="AS9" s="1781">
        <v>0</v>
      </c>
    </row>
    <row customHeight="1" ht="15" hidden="1">
      <c r="A10" s="1989"/>
      <c r="B10" s="1989"/>
      <c r="C10" s="1989"/>
      <c r="D10" s="1989"/>
      <c r="E10" s="2885"/>
      <c r="F10" s="2885"/>
      <c r="G10" s="2885"/>
      <c r="H10" s="2885"/>
      <c r="I10" s="2912"/>
      <c r="J10" s="2882"/>
      <c r="K10" s="1989"/>
      <c r="L10" s="1990"/>
      <c r="M10" s="1163"/>
      <c r="N10" s="1992"/>
      <c r="P10" s="2883"/>
      <c r="Q10" s="2883"/>
      <c r="R10" s="982"/>
      <c r="S10" s="1904"/>
      <c r="T10" s="914" t="s">
        <v>429</v>
      </c>
      <c r="U10" s="993"/>
      <c r="V10" s="993"/>
      <c r="W10" s="993"/>
      <c r="X10" s="993"/>
      <c r="Y10" s="993"/>
      <c r="Z10" s="993"/>
      <c r="AA10" s="993"/>
      <c r="AB10" s="993"/>
      <c r="AC10" s="993"/>
      <c r="AD10" s="993"/>
      <c r="AE10" s="993"/>
      <c r="AF10" s="993"/>
      <c r="AG10" s="993"/>
      <c r="AH10" s="993"/>
      <c r="AI10" s="993"/>
      <c r="AJ10" s="993"/>
      <c r="AK10" s="993"/>
      <c r="AL10" s="950"/>
      <c r="AM10" s="2881"/>
      <c r="AO10" s="1126"/>
      <c r="AP10" s="1126" t="str">
        <f>IF(T10="","",T10)</f>
        <v>Добавить вид теплоносителя (параметры теплоносителя)</v>
      </c>
      <c r="AQ10" s="1126"/>
      <c r="AR10" s="1126"/>
      <c r="AS10" s="1781">
        <v>0</v>
      </c>
    </row>
    <row customHeight="1" ht="15" hidden="1">
      <c r="A11" s="1989"/>
      <c r="B11" s="1989"/>
      <c r="C11" s="1989"/>
      <c r="D11" s="1989"/>
      <c r="E11" s="2885"/>
      <c r="F11" s="2885"/>
      <c r="G11" s="2885"/>
      <c r="H11" s="2885"/>
      <c r="I11" s="2882"/>
      <c r="J11" s="1989"/>
      <c r="K11" s="1989"/>
      <c r="L11" s="1990"/>
      <c r="M11" s="1163"/>
      <c r="P11" s="2883"/>
      <c r="Q11" s="1957"/>
      <c r="R11" s="982"/>
      <c r="S11" s="1904"/>
      <c r="T11" s="913" t="s">
        <v>430</v>
      </c>
      <c r="U11" s="993"/>
      <c r="V11" s="993"/>
      <c r="W11" s="993"/>
      <c r="X11" s="993"/>
      <c r="Y11" s="993"/>
      <c r="Z11" s="993"/>
      <c r="AA11" s="993"/>
      <c r="AB11" s="993"/>
      <c r="AC11" s="992"/>
      <c r="AD11" s="993"/>
      <c r="AE11" s="993"/>
      <c r="AF11" s="993"/>
      <c r="AG11" s="993"/>
      <c r="AH11" s="993"/>
      <c r="AI11" s="993"/>
      <c r="AJ11" s="993"/>
      <c r="AK11" s="992"/>
      <c r="AL11" s="993"/>
      <c r="AM11" s="929"/>
      <c r="AO11" s="1126"/>
      <c r="AP11" s="1126" t="str">
        <f>IF(T11="","",T11)</f>
        <v>Добавить группу потребителей</v>
      </c>
      <c r="AQ11" s="1126"/>
      <c r="AR11" s="1126"/>
      <c r="AS11" s="1781">
        <v>0</v>
      </c>
    </row>
    <row customHeight="1" ht="14.25" hidden="1">
      <c r="A12" s="1989"/>
      <c r="B12" s="1989"/>
      <c r="C12" s="1989"/>
      <c r="D12" s="1989"/>
      <c r="E12" s="2885"/>
      <c r="F12" s="2885"/>
      <c r="G12" s="2885"/>
      <c r="H12" s="2884"/>
      <c r="I12" s="1989"/>
      <c r="J12" s="1989"/>
      <c r="K12" s="1989"/>
      <c r="L12" s="1990"/>
      <c r="M12" s="1991"/>
      <c r="N12" s="1991"/>
      <c r="O12" s="1163"/>
      <c r="P12" s="986"/>
      <c r="Q12" s="1001"/>
      <c r="R12" s="981"/>
      <c r="S12" s="1904"/>
      <c r="T12" s="991" t="s">
        <v>431</v>
      </c>
      <c r="U12" s="993"/>
      <c r="V12" s="993"/>
      <c r="W12" s="993"/>
      <c r="X12" s="993"/>
      <c r="Y12" s="993"/>
      <c r="Z12" s="993"/>
      <c r="AA12" s="993"/>
      <c r="AB12" s="993"/>
      <c r="AC12" s="992"/>
      <c r="AD12" s="993"/>
      <c r="AE12" s="993"/>
      <c r="AF12" s="993"/>
      <c r="AG12" s="993"/>
      <c r="AH12" s="993"/>
      <c r="AI12" s="993"/>
      <c r="AJ12" s="993"/>
      <c r="AK12" s="992"/>
      <c r="AL12" s="993"/>
      <c r="AM12" s="929"/>
      <c r="AO12" s="1126"/>
      <c r="AP12" s="1126" t="str">
        <f>IF(T12="","",T12)</f>
        <v>Добавить схему подключения</v>
      </c>
      <c r="AQ12" s="1126"/>
      <c r="AR12" s="1126"/>
      <c r="AS12" s="1781">
        <v>0</v>
      </c>
    </row>
    <row s="34658" customFormat="1" customHeight="1" ht="0.75" hidden="1">
      <c r="A13" s="1940"/>
      <c r="B13" s="1940"/>
      <c r="C13" s="1940"/>
      <c r="D13" s="1940"/>
      <c r="E13" s="2885"/>
      <c r="F13" s="2885"/>
      <c r="G13" s="2884"/>
      <c r="H13" s="1940"/>
      <c r="I13" s="1940"/>
      <c r="J13" s="1940"/>
      <c r="K13" s="1940"/>
      <c r="L13" s="1965"/>
      <c r="M13" s="1941"/>
      <c r="N13" s="1941"/>
      <c r="P13" s="1942"/>
      <c r="Q13" s="1943"/>
      <c r="R13" s="1942"/>
      <c r="S13" s="1944"/>
      <c r="T13" s="1945" t="s">
        <v>432</v>
      </c>
      <c r="U13" s="1946"/>
      <c r="V13" s="1946"/>
      <c r="W13" s="1946"/>
      <c r="X13" s="1946"/>
      <c r="Y13" s="1946"/>
      <c r="Z13" s="1946"/>
      <c r="AA13" s="1946"/>
      <c r="AB13" s="1946"/>
      <c r="AC13" s="1946"/>
      <c r="AD13" s="1946"/>
      <c r="AE13" s="1946"/>
      <c r="AF13" s="1946"/>
      <c r="AG13" s="1946"/>
      <c r="AH13" s="1946"/>
      <c r="AI13" s="1946"/>
      <c r="AJ13" s="1946"/>
      <c r="AK13" s="1946"/>
      <c r="AL13" s="1946"/>
      <c r="AM13" s="1946"/>
      <c r="AO13" s="1415"/>
      <c r="AP13" s="1415" t="str">
        <f>IF(T13="","",T13)</f>
        <v>Добавить источник для дифференциации</v>
      </c>
      <c r="AQ13" s="1415"/>
      <c r="AR13" s="1415"/>
      <c r="AS13" s="1144">
        <v>0</v>
      </c>
    </row>
    <row s="34658" customFormat="1" customHeight="1" ht="0.75" hidden="1">
      <c r="A14" s="1940"/>
      <c r="B14" s="1940"/>
      <c r="C14" s="1940"/>
      <c r="D14" s="1940"/>
      <c r="E14" s="2885"/>
      <c r="F14" s="2884"/>
      <c r="G14" s="1940"/>
      <c r="H14" s="1940"/>
      <c r="I14" s="1940"/>
      <c r="J14" s="1940"/>
      <c r="K14" s="1940"/>
      <c r="L14" s="1965"/>
      <c r="M14" s="1947"/>
      <c r="N14" s="1947"/>
      <c r="P14" s="1942"/>
      <c r="Q14" s="1943"/>
      <c r="R14" s="1942"/>
      <c r="S14" s="1948"/>
      <c r="T14" s="1949" t="s">
        <v>433</v>
      </c>
      <c r="U14" s="1950"/>
      <c r="V14" s="1950"/>
      <c r="W14" s="1950"/>
      <c r="X14" s="1950"/>
      <c r="Y14" s="1950"/>
      <c r="Z14" s="1950"/>
      <c r="AA14" s="1950"/>
      <c r="AB14" s="1950"/>
      <c r="AC14" s="1950"/>
      <c r="AD14" s="1950"/>
      <c r="AE14" s="1950"/>
      <c r="AF14" s="1950"/>
      <c r="AG14" s="1950"/>
      <c r="AH14" s="1950"/>
      <c r="AI14" s="1950"/>
      <c r="AJ14" s="1950"/>
      <c r="AK14" s="1950"/>
      <c r="AL14" s="1950"/>
      <c r="AM14" s="1950"/>
      <c r="AO14" s="1415"/>
      <c r="AP14" s="1415" t="str">
        <f>IF(T14="","",T14)</f>
        <v>Добавить централизованную систему для дифференциации</v>
      </c>
      <c r="AQ14" s="1415"/>
      <c r="AR14" s="1415"/>
      <c r="AS14" s="1144">
        <v>0</v>
      </c>
    </row>
    <row s="34658" customFormat="1" customHeight="1" ht="0.75" hidden="1">
      <c r="A15" s="1940"/>
      <c r="B15" s="1940"/>
      <c r="C15" s="1940"/>
      <c r="D15" s="1940"/>
      <c r="E15" s="2884"/>
      <c r="F15" s="1940"/>
      <c r="G15" s="1940"/>
      <c r="H15" s="1940"/>
      <c r="I15" s="1940"/>
      <c r="J15" s="1940"/>
      <c r="K15" s="1940"/>
      <c r="L15" s="1965"/>
      <c r="M15" s="1947"/>
      <c r="N15" s="1947"/>
      <c r="P15" s="1942"/>
      <c r="Q15" s="1943"/>
      <c r="R15" s="1942"/>
      <c r="S15" s="1948"/>
      <c r="T15" s="1951" t="s">
        <v>434</v>
      </c>
      <c r="U15" s="1950"/>
      <c r="V15" s="1950"/>
      <c r="W15" s="1950"/>
      <c r="X15" s="1950"/>
      <c r="Y15" s="1950"/>
      <c r="Z15" s="1950"/>
      <c r="AA15" s="1950"/>
      <c r="AB15" s="1950"/>
      <c r="AC15" s="1950"/>
      <c r="AD15" s="1950"/>
      <c r="AE15" s="1950"/>
      <c r="AF15" s="1950"/>
      <c r="AG15" s="1950"/>
      <c r="AH15" s="1950"/>
      <c r="AI15" s="1950"/>
      <c r="AJ15" s="1950"/>
      <c r="AK15" s="1950"/>
      <c r="AL15" s="1950"/>
      <c r="AM15" s="1950"/>
      <c r="AO15" s="1415"/>
      <c r="AP15" s="1415" t="str">
        <f>IF(T15="","",T15)</f>
        <v>Добавить территорию для дифференциации</v>
      </c>
      <c r="AQ15" s="1415"/>
      <c r="AR15" s="1415"/>
      <c r="AS15" s="1144">
        <v>0</v>
      </c>
    </row>
    <row customHeight="1" ht="14.25" hidden="1">
      <c r="AC16" s="953"/>
      <c r="AK16" s="953"/>
      <c r="AS16" s="1781">
        <v>0</v>
      </c>
    </row>
    <row customHeight="1" ht="14.25" hidden="1">
      <c r="AD17" s="1986"/>
      <c r="AE17" s="1986"/>
      <c r="AF17" s="1986"/>
      <c r="AG17" s="1987"/>
      <c r="AH17" s="2893"/>
      <c r="AI17" s="2894" t="s">
        <v>66</v>
      </c>
      <c r="AJ17" s="2893"/>
      <c r="AK17" s="2894" t="s">
        <v>66</v>
      </c>
      <c r="AS17" s="1781">
        <v>0</v>
      </c>
    </row>
    <row customHeight="1" ht="14.25" hidden="1">
      <c r="AD18" s="1986"/>
      <c r="AE18" s="1986"/>
      <c r="AF18" s="1986"/>
      <c r="AG18" s="954" t="str">
        <f>AH17&amp;"-"&amp;AJ17</f>
        <v>-</v>
      </c>
      <c r="AH18" s="2894"/>
      <c r="AI18" s="2894"/>
      <c r="AJ18" s="2894"/>
      <c r="AK18" s="2894"/>
      <c r="AS18" s="1781">
        <v>0</v>
      </c>
    </row>
    <row customHeight="1" ht="14.25" hidden="1">
      <c r="AK19" s="953"/>
      <c r="AS19" s="1781">
        <v>0</v>
      </c>
    </row>
    <row s="34657" customFormat="1" customHeight="1" ht="22.5" hidden="1">
      <c r="L20" s="1955"/>
      <c r="M20" s="1988"/>
      <c r="N20" s="1988"/>
      <c r="O20" s="1993" t="s">
        <v>435</v>
      </c>
      <c r="P20" s="1988"/>
      <c r="Q20" s="1997"/>
      <c r="R20" s="1997"/>
      <c r="S20" s="1355"/>
      <c r="Z20" s="1993"/>
      <c r="AB20" s="1993"/>
      <c r="AC20" s="1992"/>
      <c r="AH20" s="1993"/>
      <c r="AJ20" s="1993"/>
      <c r="AK20" s="1992"/>
      <c r="AN20" s="1137"/>
      <c r="AO20" s="1137"/>
      <c r="AP20" s="1137"/>
      <c r="AQ20" s="1137"/>
      <c r="AR20" s="1137"/>
      <c r="AS20" s="1786">
        <v>0</v>
      </c>
    </row>
    <row s="34657" customFormat="1" customHeight="1" ht="14.25" hidden="1">
      <c r="L21" s="1955"/>
      <c r="M21" s="1988"/>
      <c r="N21" s="1988"/>
      <c r="O21" s="1988"/>
      <c r="P21" s="1988"/>
      <c r="Q21" s="1997"/>
      <c r="R21" s="1997"/>
      <c r="S21" s="1355"/>
      <c r="AC21" s="1992"/>
      <c r="AK21" s="1992"/>
      <c r="AN21" s="1137"/>
      <c r="AO21" s="1137"/>
      <c r="AP21" s="1137"/>
      <c r="AQ21" s="1137"/>
      <c r="AR21" s="1137"/>
      <c r="AS21" s="1786">
        <v>0</v>
      </c>
    </row>
    <row s="34657" customFormat="1" customHeight="1" ht="14.25" hidden="1">
      <c r="L22" s="1955"/>
      <c r="M22" s="1988"/>
      <c r="N22" s="1988"/>
      <c r="O22" s="1990" t="s">
        <v>436</v>
      </c>
      <c r="P22" s="1988"/>
      <c r="Q22" s="1997"/>
      <c r="R22" s="1997"/>
      <c r="S22" s="1355"/>
      <c r="T22" s="1786" t="s">
        <v>437</v>
      </c>
      <c r="AA22" s="812" t="s">
        <v>438</v>
      </c>
      <c r="AC22" s="812" t="s">
        <v>439</v>
      </c>
      <c r="AD22" s="1786" t="s">
        <v>437</v>
      </c>
      <c r="AI22" s="812" t="s">
        <v>440</v>
      </c>
      <c r="AK22" s="812" t="s">
        <v>439</v>
      </c>
      <c r="AN22" s="1137"/>
      <c r="AO22" s="1137"/>
      <c r="AP22" s="1137"/>
      <c r="AQ22" s="1137"/>
      <c r="AR22" s="1137"/>
      <c r="AS22" s="1786">
        <v>0</v>
      </c>
    </row>
    <row customHeight="1" ht="14.25" hidden="1">
      <c r="O23" s="1990"/>
      <c r="AS23" s="1781">
        <v>0</v>
      </c>
    </row>
    <row customHeight="1" ht="14.25" hidden="1">
      <c r="O24" s="1990"/>
      <c r="AS24" s="1781">
        <v>0</v>
      </c>
    </row>
    <row customHeight="1" ht="14.699999999999998">
      <c r="Q25" s="1002"/>
      <c r="R25" s="1002"/>
      <c r="S25" s="1901"/>
      <c r="T25" s="989"/>
      <c r="U25" s="989"/>
      <c r="V25" s="1135"/>
      <c r="W25" s="1135"/>
      <c r="X25" s="1135"/>
      <c r="Y25" s="1135"/>
      <c r="Z25" s="1135"/>
      <c r="AA25" s="1135"/>
      <c r="AB25" s="1135"/>
      <c r="AC25" s="1135"/>
      <c r="AD25" s="1135"/>
      <c r="AE25" s="1135"/>
      <c r="AF25" s="1135"/>
      <c r="AG25" s="1135"/>
      <c r="AH25" s="1135"/>
      <c r="AI25" s="1135"/>
      <c r="AJ25" s="1135"/>
      <c r="AK25" s="1135"/>
      <c r="AS25" s="1781">
        <v>14</v>
      </c>
    </row>
    <row customHeight="1" ht="14.699999999999998">
      <c r="Q26" s="1002"/>
      <c r="R26" s="1002"/>
      <c r="S26" s="28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4"/>
      <c r="U26" s="2874"/>
      <c r="V26" s="2874"/>
      <c r="W26" s="2874"/>
      <c r="X26" s="2874"/>
      <c r="Y26" s="2874"/>
      <c r="Z26" s="2874"/>
      <c r="AA26" s="2874"/>
      <c r="AB26" s="2874"/>
      <c r="AC26" s="2874"/>
      <c r="AD26" s="2874"/>
      <c r="AE26" s="2874"/>
      <c r="AF26" s="2874"/>
      <c r="AG26" s="2874"/>
      <c r="AH26" s="2874"/>
      <c r="AI26" s="2874"/>
      <c r="AJ26" s="2874"/>
      <c r="AK26" s="1869"/>
      <c r="AS26" s="1781">
        <v>14</v>
      </c>
    </row>
    <row customHeight="1" ht="14.699999999999998">
      <c r="Q27" s="1002"/>
      <c r="R27" s="1002"/>
      <c r="S27" s="2875" t="str">
        <f>IF(org=0,"Не определено",org)</f>
        <v>АО "ДГК"</v>
      </c>
      <c r="T27" s="2875"/>
      <c r="U27" s="2875"/>
      <c r="V27" s="2875"/>
      <c r="W27" s="2875"/>
      <c r="X27" s="2875"/>
      <c r="Y27" s="2875"/>
      <c r="Z27" s="2875"/>
      <c r="AA27" s="2875"/>
      <c r="AB27" s="2875"/>
      <c r="AC27" s="2875"/>
      <c r="AD27" s="2875"/>
      <c r="AE27" s="2875"/>
      <c r="AF27" s="2875"/>
      <c r="AG27" s="2875"/>
      <c r="AH27" s="2875"/>
      <c r="AI27" s="2875"/>
      <c r="AJ27" s="2875"/>
      <c r="AK27" s="1869"/>
      <c r="AS27" s="1781">
        <v>14</v>
      </c>
    </row>
    <row customHeight="1" ht="14.25" hidden="1">
      <c r="Q28" s="1002"/>
      <c r="R28" s="1002"/>
      <c r="S28" s="1901"/>
      <c r="T28" s="989"/>
      <c r="U28" s="989"/>
      <c r="V28" s="948"/>
      <c r="W28" s="948"/>
      <c r="X28" s="948"/>
      <c r="Y28" s="948"/>
      <c r="Z28" s="948"/>
      <c r="AA28" s="948"/>
      <c r="AB28" s="948"/>
      <c r="AC28" s="948"/>
      <c r="AD28" s="948"/>
      <c r="AE28" s="948"/>
      <c r="AF28" s="948"/>
      <c r="AG28" s="948"/>
      <c r="AH28" s="948"/>
      <c r="AI28" s="948"/>
      <c r="AJ28" s="948"/>
      <c r="AK28" s="948"/>
      <c r="AL28" s="1135"/>
      <c r="AS28" s="1781">
        <v>0</v>
      </c>
    </row>
    <row s="34794" customFormat="1" customHeight="1" ht="25.5" hidden="1">
      <c r="A29" s="1994"/>
      <c r="B29" s="1994"/>
      <c r="C29" s="1994"/>
      <c r="D29" s="1994"/>
      <c r="E29" s="1994"/>
      <c r="F29" s="1994"/>
      <c r="G29" s="1994"/>
      <c r="H29" s="1994"/>
      <c r="I29" s="1994"/>
      <c r="J29" s="1994"/>
      <c r="K29" s="1994"/>
      <c r="L29" s="1995"/>
      <c r="M29" s="1994"/>
      <c r="N29" s="1994"/>
      <c r="O29" s="1994"/>
      <c r="S29" s="2876" t="s">
        <v>42</v>
      </c>
      <c r="T29" s="2876"/>
      <c r="U29" s="1998"/>
      <c r="V29" s="2877" t="str">
        <f>IF(TITLE_NAME_OR_PR_CHANGE="",IF(TITLE_NAME_OR_PR="","",TITLE_NAME_OR_PR),TITLE_NAME_OR_PR_CHANGE)</f>
        <v/>
      </c>
      <c r="W29" s="2877"/>
      <c r="X29" s="2877"/>
      <c r="Y29" s="2877"/>
      <c r="Z29" s="2877"/>
      <c r="AA29" s="2877"/>
      <c r="AB29" s="2877"/>
      <c r="AC29" s="952"/>
      <c r="AD29" s="2877" t="str">
        <f>IF(TITLE_NAME_OR_PR_CHANGE="",IF(TITLE_NAME_OR_PR="","",TITLE_NAME_OR_PR),TITLE_NAME_OR_PR_CHANGE)</f>
        <v/>
      </c>
      <c r="AE29" s="2877"/>
      <c r="AF29" s="2877"/>
      <c r="AG29" s="2877"/>
      <c r="AH29" s="2877"/>
      <c r="AI29" s="2877"/>
      <c r="AJ29" s="2877"/>
      <c r="AK29" s="952"/>
      <c r="AL29" s="952"/>
      <c r="AM29" s="906"/>
      <c r="AN29" s="994"/>
      <c r="AO29" s="994"/>
      <c r="AP29" s="994"/>
      <c r="AQ29" s="994"/>
      <c r="AR29" s="994"/>
      <c r="AS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441</v>
      </c>
      <c r="T30" s="2876"/>
      <c r="U30" s="1998"/>
      <c r="V30" s="2890" t="str">
        <f>IF(TITLE_DATE_PR_CHANGE="",IF(TITLE_DATE_PR="","",TITLE_DATE_PR),TITLE_DATE_PR_CHANGE)</f>
        <v/>
      </c>
      <c r="W30" s="2890"/>
      <c r="X30" s="2890"/>
      <c r="Y30" s="2890"/>
      <c r="Z30" s="2890"/>
      <c r="AA30" s="2890"/>
      <c r="AB30" s="2890"/>
      <c r="AC30" s="952"/>
      <c r="AD30" s="2890" t="str">
        <f>IF(TITLE_DATE_PR_CHANGE="",IF(TITLE_DATE_PR="","",TITLE_DATE_PR),TITLE_DATE_PR_CHANGE)</f>
        <v/>
      </c>
      <c r="AE30" s="2890"/>
      <c r="AF30" s="2890"/>
      <c r="AG30" s="2890"/>
      <c r="AH30" s="2890"/>
      <c r="AI30" s="2890"/>
      <c r="AJ30" s="2890"/>
      <c r="AK30" s="952"/>
      <c r="AL30" s="952"/>
      <c r="AM30" s="906"/>
      <c r="AN30" s="994"/>
      <c r="AO30" s="994"/>
      <c r="AP30" s="994"/>
      <c r="AQ30" s="994"/>
      <c r="AR30" s="994"/>
      <c r="AS30" s="1044">
        <v>0</v>
      </c>
    </row>
    <row s="34794" customFormat="1" customHeight="1" ht="18.75" hidden="1">
      <c r="A31" s="1994"/>
      <c r="B31" s="1994"/>
      <c r="C31" s="1994"/>
      <c r="D31" s="1994"/>
      <c r="E31" s="1994"/>
      <c r="F31" s="1994"/>
      <c r="G31" s="1994"/>
      <c r="H31" s="1994"/>
      <c r="I31" s="1994"/>
      <c r="J31" s="1994"/>
      <c r="K31" s="1994"/>
      <c r="L31" s="1995"/>
      <c r="M31" s="1994"/>
      <c r="N31" s="1994"/>
      <c r="O31" s="1994"/>
      <c r="S31" s="2876" t="s">
        <v>442</v>
      </c>
      <c r="T31" s="2876"/>
      <c r="U31" s="1998"/>
      <c r="V31" s="2877" t="str">
        <f>IF(TITLE_NUMBER_PR_CHANGE="",IF(TITLE_NUMBER_PR="","",TITLE_NUMBER_PR),TITLE_NUMBER_PR_CHANGE)</f>
        <v/>
      </c>
      <c r="W31" s="2877"/>
      <c r="X31" s="2877"/>
      <c r="Y31" s="2877"/>
      <c r="Z31" s="2877"/>
      <c r="AA31" s="2877"/>
      <c r="AB31" s="2877"/>
      <c r="AC31" s="952"/>
      <c r="AD31" s="2877" t="str">
        <f>IF(TITLE_NUMBER_PR_CHANGE="",IF(TITLE_NUMBER_PR="","",TITLE_NUMBER_PR),TITLE_NUMBER_PR_CHANGE)</f>
        <v/>
      </c>
      <c r="AE31" s="2877"/>
      <c r="AF31" s="2877"/>
      <c r="AG31" s="2877"/>
      <c r="AH31" s="2877"/>
      <c r="AI31" s="2877"/>
      <c r="AJ31" s="2877"/>
      <c r="AK31" s="952"/>
      <c r="AL31" s="952"/>
      <c r="AM31" s="906"/>
      <c r="AN31" s="994"/>
      <c r="AO31" s="994"/>
      <c r="AP31" s="994"/>
      <c r="AQ31" s="994"/>
      <c r="AR31" s="994"/>
      <c r="AS31" s="1044">
        <v>0</v>
      </c>
    </row>
    <row s="34794" customFormat="1" customHeight="1" ht="18.75" hidden="1">
      <c r="A32" s="1994"/>
      <c r="B32" s="1994"/>
      <c r="C32" s="1994"/>
      <c r="D32" s="1994"/>
      <c r="E32" s="1994"/>
      <c r="F32" s="1994"/>
      <c r="G32" s="1994"/>
      <c r="H32" s="1994"/>
      <c r="I32" s="1994"/>
      <c r="J32" s="1994"/>
      <c r="K32" s="1994"/>
      <c r="L32" s="1995"/>
      <c r="M32" s="1994"/>
      <c r="N32" s="1994"/>
      <c r="O32" s="1994"/>
      <c r="S32" s="2876" t="s">
        <v>43</v>
      </c>
      <c r="T32" s="2876"/>
      <c r="U32" s="1998"/>
      <c r="V32" s="2877" t="str">
        <f>IF(TITLE_IST_PUB_CHANGE="",IF(TITLE_IST_PUB="","",TITLE_IST_PUB),TITLE_IST_PUB_CHANGE)</f>
        <v/>
      </c>
      <c r="W32" s="2877"/>
      <c r="X32" s="2877"/>
      <c r="Y32" s="2877"/>
      <c r="Z32" s="2877"/>
      <c r="AA32" s="2877"/>
      <c r="AB32" s="2877"/>
      <c r="AC32" s="952"/>
      <c r="AD32" s="2877" t="str">
        <f>IF(TITLE_IST_PUB_CHANGE="",IF(TITLE_IST_PUB="","",TITLE_IST_PUB),TITLE_IST_PUB_CHANGE)</f>
        <v/>
      </c>
      <c r="AE32" s="2877"/>
      <c r="AF32" s="2877"/>
      <c r="AG32" s="2877"/>
      <c r="AH32" s="2877"/>
      <c r="AI32" s="2877"/>
      <c r="AJ32" s="2877"/>
      <c r="AK32" s="952"/>
      <c r="AL32" s="952"/>
      <c r="AM32" s="906"/>
      <c r="AN32" s="994"/>
      <c r="AO32" s="994"/>
      <c r="AP32" s="994"/>
      <c r="AQ32" s="994"/>
      <c r="AR32" s="994"/>
      <c r="AS32" s="1044">
        <v>0</v>
      </c>
    </row>
    <row customHeight="1" ht="14.25" hidden="1">
      <c r="Q33" s="1002"/>
      <c r="R33" s="1002"/>
      <c r="S33" s="1901"/>
      <c r="T33" s="989"/>
      <c r="U33" s="989"/>
      <c r="V33" s="948"/>
      <c r="W33" s="948"/>
      <c r="X33" s="948"/>
      <c r="Y33" s="948"/>
      <c r="Z33" s="948"/>
      <c r="AA33" s="948"/>
      <c r="AB33" s="948"/>
      <c r="AC33" s="948"/>
      <c r="AD33" s="948"/>
      <c r="AE33" s="948"/>
      <c r="AF33" s="948"/>
      <c r="AG33" s="948"/>
      <c r="AH33" s="948"/>
      <c r="AI33" s="948"/>
      <c r="AJ33" s="948"/>
      <c r="AK33" s="948"/>
      <c r="AL33" s="1135"/>
      <c r="AS33" s="1781">
        <v>0</v>
      </c>
    </row>
    <row s="34794" customFormat="1" customHeight="1" ht="18.75" hidden="1">
      <c r="A34" s="1994"/>
      <c r="B34" s="1994"/>
      <c r="C34" s="1994"/>
      <c r="D34" s="1994"/>
      <c r="E34" s="1994"/>
      <c r="F34" s="1994"/>
      <c r="G34" s="1994"/>
      <c r="H34" s="1994"/>
      <c r="I34" s="1994"/>
      <c r="J34" s="1994"/>
      <c r="K34" s="1994"/>
      <c r="L34" s="1995"/>
      <c r="M34" s="1994"/>
      <c r="N34" s="1994"/>
      <c r="O34" s="1994"/>
      <c r="S34" s="2876" t="s">
        <v>443</v>
      </c>
      <c r="T34" s="2876"/>
      <c r="U34" s="1998"/>
      <c r="V34" s="2890" t="str">
        <f>IF(TITLE_DATE_PR_CHANGE="",IF(TITLE_DATE_PR="","",TITLE_DATE_PR),TITLE_DATE_PR_CHANGE)</f>
        <v/>
      </c>
      <c r="W34" s="2890"/>
      <c r="X34" s="2890"/>
      <c r="Y34" s="2890"/>
      <c r="Z34" s="2890"/>
      <c r="AA34" s="2890"/>
      <c r="AB34" s="2890"/>
      <c r="AC34" s="952"/>
      <c r="AD34" s="2890" t="str">
        <f>IF(TITLE_DATE_PR_CHANGE="",IF(TITLE_DATE_PR="","",TITLE_DATE_PR),TITLE_DATE_PR_CHANGE)</f>
        <v/>
      </c>
      <c r="AE34" s="2890"/>
      <c r="AF34" s="2890"/>
      <c r="AG34" s="2890"/>
      <c r="AH34" s="2890"/>
      <c r="AI34" s="2890"/>
      <c r="AJ34" s="2890"/>
      <c r="AK34" s="952"/>
      <c r="AL34" s="952"/>
      <c r="AM34" s="906"/>
      <c r="AN34" s="994"/>
      <c r="AO34" s="994"/>
      <c r="AP34" s="994"/>
      <c r="AQ34" s="994"/>
      <c r="AR34" s="994"/>
      <c r="AS34" s="1044">
        <v>0</v>
      </c>
    </row>
    <row s="34794" customFormat="1" customHeight="1" ht="18.75" hidden="1">
      <c r="A35" s="1994"/>
      <c r="B35" s="1994"/>
      <c r="C35" s="1994"/>
      <c r="D35" s="1994"/>
      <c r="E35" s="1994"/>
      <c r="F35" s="1994"/>
      <c r="G35" s="1994"/>
      <c r="H35" s="1994"/>
      <c r="I35" s="1994"/>
      <c r="J35" s="1994"/>
      <c r="K35" s="1994"/>
      <c r="L35" s="1995"/>
      <c r="M35" s="1994"/>
      <c r="N35" s="1994"/>
      <c r="O35" s="1994"/>
      <c r="S35" s="2876" t="s">
        <v>444</v>
      </c>
      <c r="T35" s="2876"/>
      <c r="U35" s="1998"/>
      <c r="V35" s="2877" t="str">
        <f>IF(TITLE_NUMBER_PR_CHANGE="",IF(TITLE_NUMBER_PR="","",TITLE_NUMBER_PR),TITLE_NUMBER_PR_CHANGE)</f>
        <v/>
      </c>
      <c r="W35" s="2877"/>
      <c r="X35" s="2877"/>
      <c r="Y35" s="2877"/>
      <c r="Z35" s="2877"/>
      <c r="AA35" s="2877"/>
      <c r="AB35" s="2877"/>
      <c r="AC35" s="952"/>
      <c r="AD35" s="2877" t="str">
        <f>IF(TITLE_NUMBER_PR_CHANGE="",IF(TITLE_NUMBER_PR="","",TITLE_NUMBER_PR),TITLE_NUMBER_PR_CHANGE)</f>
        <v/>
      </c>
      <c r="AE35" s="2877"/>
      <c r="AF35" s="2877"/>
      <c r="AG35" s="2877"/>
      <c r="AH35" s="2877"/>
      <c r="AI35" s="2877"/>
      <c r="AJ35" s="2877"/>
      <c r="AK35" s="952"/>
      <c r="AL35" s="952"/>
      <c r="AM35" s="906"/>
      <c r="AN35" s="994"/>
      <c r="AO35" s="994"/>
      <c r="AP35" s="994"/>
      <c r="AQ35" s="994"/>
      <c r="AR35" s="994"/>
      <c r="AS35" s="1044">
        <v>0</v>
      </c>
    </row>
    <row s="34794" customFormat="1" customHeight="1" ht="0">
      <c r="A36" s="1994"/>
      <c r="B36" s="1994"/>
      <c r="C36" s="1994"/>
      <c r="D36" s="1994"/>
      <c r="E36" s="1994"/>
      <c r="F36" s="1994"/>
      <c r="G36" s="1994"/>
      <c r="H36" s="1994"/>
      <c r="I36" s="1994"/>
      <c r="J36" s="1994"/>
      <c r="K36" s="1994"/>
      <c r="L36" s="1995"/>
      <c r="M36" s="1994"/>
      <c r="N36" s="1994"/>
      <c r="O36" s="1994"/>
      <c r="S36" s="949"/>
      <c r="T36" s="949"/>
      <c r="U36" s="1966"/>
      <c r="V36" s="952"/>
      <c r="W36" s="952"/>
      <c r="X36" s="952"/>
      <c r="Y36" s="952"/>
      <c r="Z36" s="952"/>
      <c r="AA36" s="952"/>
      <c r="AB36" s="952"/>
      <c r="AC36" s="904" t="s">
        <v>445</v>
      </c>
      <c r="AD36" s="952"/>
      <c r="AE36" s="952"/>
      <c r="AF36" s="952"/>
      <c r="AG36" s="952"/>
      <c r="AH36" s="952"/>
      <c r="AI36" s="952"/>
      <c r="AJ36" s="952"/>
      <c r="AK36" s="904" t="s">
        <v>445</v>
      </c>
      <c r="AN36" s="994"/>
      <c r="AO36" s="994"/>
      <c r="AP36" s="994"/>
      <c r="AQ36" s="994"/>
      <c r="AR36" s="994"/>
      <c r="AS36" s="1044">
        <v>0</v>
      </c>
    </row>
    <row customHeight="1" ht="14.699999999999998">
      <c r="Q37" s="1002"/>
      <c r="R37" s="1002"/>
      <c r="S37" s="1901"/>
      <c r="T37" s="989"/>
      <c r="U37" s="1870"/>
      <c r="V37" s="2878"/>
      <c r="W37" s="2878"/>
      <c r="X37" s="2878"/>
      <c r="Y37" s="2878"/>
      <c r="Z37" s="2878"/>
      <c r="AA37" s="2878"/>
      <c r="AB37" s="2878"/>
      <c r="AC37" s="2878"/>
      <c r="AD37" s="2878"/>
      <c r="AE37" s="2878"/>
      <c r="AF37" s="2878"/>
      <c r="AG37" s="2878"/>
      <c r="AH37" s="2878"/>
      <c r="AI37" s="2878"/>
      <c r="AJ37" s="2878"/>
      <c r="AK37" s="2878"/>
      <c r="AS37" s="1781">
        <v>14</v>
      </c>
    </row>
    <row customHeight="1" ht="14.699999999999998">
      <c r="Q38" s="1002"/>
      <c r="R38" s="1002"/>
      <c r="S38" s="2753" t="s">
        <v>318</v>
      </c>
      <c r="T38" s="2753"/>
      <c r="U38" s="2753"/>
      <c r="V38" s="2753"/>
      <c r="W38" s="2753"/>
      <c r="X38" s="2753"/>
      <c r="Y38" s="2753"/>
      <c r="Z38" s="2753"/>
      <c r="AA38" s="2753"/>
      <c r="AB38" s="2753"/>
      <c r="AC38" s="2753"/>
      <c r="AD38" s="2753"/>
      <c r="AE38" s="2753"/>
      <c r="AF38" s="2753"/>
      <c r="AG38" s="2753"/>
      <c r="AH38" s="2753"/>
      <c r="AI38" s="2753"/>
      <c r="AJ38" s="2753"/>
      <c r="AK38" s="2753"/>
      <c r="AL38" s="2753"/>
      <c r="AM38" s="2753" t="s">
        <v>319</v>
      </c>
      <c r="AS38" s="1781">
        <v>14</v>
      </c>
    </row>
    <row customHeight="1" ht="14.699999999999998">
      <c r="Q39" s="1002"/>
      <c r="R39" s="1002"/>
      <c r="S39" s="2899" t="s">
        <v>88</v>
      </c>
      <c r="T39" s="2835" t="s">
        <v>446</v>
      </c>
      <c r="U39" s="927"/>
      <c r="V39" s="2900" t="s">
        <v>447</v>
      </c>
      <c r="W39" s="2901"/>
      <c r="X39" s="2901"/>
      <c r="Y39" s="2901"/>
      <c r="Z39" s="2901"/>
      <c r="AA39" s="2901"/>
      <c r="AB39" s="2902"/>
      <c r="AC39" s="2903" t="s">
        <v>448</v>
      </c>
      <c r="AD39" s="2900" t="s">
        <v>447</v>
      </c>
      <c r="AE39" s="2901"/>
      <c r="AF39" s="2901"/>
      <c r="AG39" s="2901"/>
      <c r="AH39" s="2901"/>
      <c r="AI39" s="2901"/>
      <c r="AJ39" s="2902"/>
      <c r="AK39" s="2903" t="s">
        <v>449</v>
      </c>
      <c r="AL39" s="2906" t="s">
        <v>450</v>
      </c>
      <c r="AM39" s="2753"/>
      <c r="AS39" s="1781">
        <v>14</v>
      </c>
    </row>
    <row customHeight="1" ht="35.699999999999996">
      <c r="Q40" s="1002"/>
      <c r="R40" s="1002"/>
      <c r="S40" s="2899"/>
      <c r="T40" s="2835"/>
      <c r="U40" s="1657"/>
      <c r="V40" s="2886" t="s">
        <v>451</v>
      </c>
      <c r="W40" s="2909" t="s">
        <v>452</v>
      </c>
      <c r="X40" s="2888" t="s">
        <v>453</v>
      </c>
      <c r="Y40" s="2889"/>
      <c r="Z40" s="2888" t="s">
        <v>467</v>
      </c>
      <c r="AA40" s="2895"/>
      <c r="AB40" s="2889"/>
      <c r="AC40" s="2904"/>
      <c r="AD40" s="2886" t="s">
        <v>451</v>
      </c>
      <c r="AE40" s="2909" t="s">
        <v>452</v>
      </c>
      <c r="AF40" s="2888" t="s">
        <v>453</v>
      </c>
      <c r="AG40" s="2889"/>
      <c r="AH40" s="2888" t="s">
        <v>454</v>
      </c>
      <c r="AI40" s="2895"/>
      <c r="AJ40" s="2889"/>
      <c r="AK40" s="2904"/>
      <c r="AL40" s="2907"/>
      <c r="AM40" s="2753"/>
      <c r="AS40" s="1781">
        <v>34</v>
      </c>
    </row>
    <row customHeight="1" ht="35.699999999999996">
      <c r="A41" s="1996"/>
      <c r="B41" s="1996" t="s">
        <v>155</v>
      </c>
      <c r="C41" s="1996" t="s">
        <v>156</v>
      </c>
      <c r="D41" s="1996" t="s">
        <v>157</v>
      </c>
      <c r="E41" s="1990" t="s">
        <v>455</v>
      </c>
      <c r="F41" s="1990" t="s">
        <v>456</v>
      </c>
      <c r="G41" s="1990" t="s">
        <v>457</v>
      </c>
      <c r="H41" s="1990" t="s">
        <v>458</v>
      </c>
      <c r="I41" s="1990" t="s">
        <v>459</v>
      </c>
      <c r="J41" s="1990" t="s">
        <v>460</v>
      </c>
      <c r="K41" s="1990" t="s">
        <v>461</v>
      </c>
      <c r="L41" s="1990" t="s">
        <v>436</v>
      </c>
      <c r="Q41" s="1002"/>
      <c r="R41" s="1002"/>
      <c r="S41" s="2899"/>
      <c r="T41" s="2835"/>
      <c r="U41" s="928"/>
      <c r="V41" s="2887"/>
      <c r="W41" s="2910"/>
      <c r="X41" s="1848" t="s">
        <v>462</v>
      </c>
      <c r="Y41" s="1848" t="s">
        <v>463</v>
      </c>
      <c r="Z41" s="1964" t="s">
        <v>464</v>
      </c>
      <c r="AA41" s="2896" t="s">
        <v>465</v>
      </c>
      <c r="AB41" s="2897"/>
      <c r="AC41" s="2905"/>
      <c r="AD41" s="2887"/>
      <c r="AE41" s="2910"/>
      <c r="AF41" s="1848" t="s">
        <v>462</v>
      </c>
      <c r="AG41" s="1848" t="s">
        <v>463</v>
      </c>
      <c r="AH41" s="1964" t="s">
        <v>464</v>
      </c>
      <c r="AI41" s="2896" t="s">
        <v>465</v>
      </c>
      <c r="AJ41" s="2897"/>
      <c r="AK41" s="2905"/>
      <c r="AL41" s="2908"/>
      <c r="AM41" s="2753"/>
      <c r="AS41" s="1781">
        <v>34</v>
      </c>
    </row>
    <row s="35197" customFormat="1" customHeight="1" ht="11.25" hidden="1">
      <c r="A42" s="1996"/>
      <c r="B42" s="1996"/>
      <c r="C42" s="1996"/>
      <c r="D42" s="1996"/>
      <c r="E42" s="1996"/>
      <c r="F42" s="1996"/>
      <c r="G42" s="1996"/>
      <c r="H42" s="1996"/>
      <c r="I42" s="1996"/>
      <c r="J42" s="1996"/>
      <c r="K42" s="1996"/>
      <c r="L42" s="1990"/>
      <c r="M42" s="1988"/>
      <c r="N42" s="1988"/>
      <c r="O42" s="1988"/>
      <c r="P42" s="1872"/>
      <c r="Q42" s="1873"/>
      <c r="R42" s="1880">
        <v>1</v>
      </c>
      <c r="S42" s="1903" t="s">
        <v>118</v>
      </c>
      <c r="T42" s="1881" t="s">
        <v>102</v>
      </c>
      <c r="U42" s="1871" t="str">
        <f>OFFSET(U42,0,-1)</f>
        <v>2</v>
      </c>
      <c r="V42" s="1961">
        <f>OFFSET(V42,0,-1)+1</f>
        <v>3</v>
      </c>
      <c r="W42" s="1961"/>
      <c r="X42" s="1961">
        <f>OFFSET(X42,0,-1)+1</f>
        <v>1</v>
      </c>
      <c r="Y42" s="1961">
        <f>OFFSET(Y42,0,-1)+1</f>
        <v>2</v>
      </c>
      <c r="Z42" s="1961">
        <f>OFFSET(Z42,0,-1)+1</f>
        <v>3</v>
      </c>
      <c r="AA42" s="2898">
        <f>OFFSET(AA42,0,-1)+1</f>
        <v>4</v>
      </c>
      <c r="AB42" s="2898"/>
      <c r="AC42" s="1961">
        <f>OFFSET(AC42,0,-2)+1</f>
        <v>5</v>
      </c>
      <c r="AD42" s="1961">
        <f>OFFSET(AD42,0,-1)+1</f>
        <v>6</v>
      </c>
      <c r="AE42" s="1961"/>
      <c r="AF42" s="1961">
        <f>OFFSET(AF42,0,-1)+1</f>
        <v>1</v>
      </c>
      <c r="AG42" s="1961">
        <f>OFFSET(AG42,0,-1)+1</f>
        <v>2</v>
      </c>
      <c r="AH42" s="1961">
        <f>OFFSET(AH42,0,-1)+1</f>
        <v>3</v>
      </c>
      <c r="AI42" s="2898">
        <f>OFFSET(AI42,0,-1)+1</f>
        <v>4</v>
      </c>
      <c r="AJ42" s="2898"/>
      <c r="AK42" s="1961">
        <f>OFFSET(AK42,0,-2)+1</f>
        <v>5</v>
      </c>
      <c r="AL42" s="1871">
        <f>OFFSET(AL42,0,-1)</f>
        <v>5</v>
      </c>
      <c r="AM42" s="1961">
        <f>OFFSET(AM42,0,-1)+1</f>
        <v>6</v>
      </c>
      <c r="AN42" s="1137"/>
      <c r="AO42" s="1137"/>
      <c r="AP42" s="1137"/>
      <c r="AQ42" s="1137"/>
      <c r="AR42" s="1137"/>
      <c r="AS42" s="1122">
        <v>0</v>
      </c>
    </row>
    <row customHeight="1" ht="22.049999999999997">
      <c r="A43" s="1989" t="s">
        <v>181</v>
      </c>
      <c r="B43" s="1989"/>
      <c r="C43" s="1989"/>
      <c r="D43" s="1989"/>
      <c r="E43" s="2884">
        <v>1</v>
      </c>
      <c r="F43" s="1989"/>
      <c r="G43" s="1989"/>
      <c r="H43" s="1989"/>
      <c r="I43" s="1989"/>
      <c r="J43" s="1989"/>
      <c r="K43" s="1989"/>
      <c r="L43" s="1990"/>
      <c r="M43" s="1991"/>
      <c r="N43" s="1991"/>
      <c r="O43" s="1991"/>
      <c r="P43" s="987"/>
      <c r="Q43" s="986"/>
      <c r="R43" s="981"/>
      <c r="S43" s="1962">
        <f>INDEX(PT_DIFFERENTIATION_NUM_NTAR,MATCH(A43,PT_DIFFERENTIATION_NTAR_ID,0))</f>
        <v>0</v>
      </c>
      <c r="T43" s="924" t="s">
        <v>143</v>
      </c>
      <c r="U43" s="926"/>
      <c r="V43" s="2868"/>
      <c r="W43" s="2869"/>
      <c r="X43" s="2869"/>
      <c r="Y43" s="2869"/>
      <c r="Z43" s="2869"/>
      <c r="AA43" s="2869"/>
      <c r="AB43" s="2869"/>
      <c r="AC43" s="2870"/>
      <c r="AD43" s="2868" t="str">
        <f>INDEX(PT_DIFFERENTIATION_NTAR,MATCH(A43,PT_DIFFERENTIATION_NTAR_ID,0))</f>
        <v/>
      </c>
      <c r="AE43" s="2869"/>
      <c r="AF43" s="2869"/>
      <c r="AG43" s="2869"/>
      <c r="AH43" s="2869"/>
      <c r="AI43" s="2869"/>
      <c r="AJ43" s="2869"/>
      <c r="AK43" s="2869"/>
      <c r="AL43" s="2870"/>
      <c r="AM43" s="18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26"/>
      <c r="AP43" s="1126" t="str">
        <f>IF(T43="","",T43)</f>
        <v>Наименование тарифа</v>
      </c>
      <c r="AQ43" s="1126"/>
      <c r="AR43" s="1126"/>
      <c r="AS43" s="1781">
        <v>21</v>
      </c>
    </row>
    <row customHeight="1" ht="22.049999999999997">
      <c r="A44" s="1989" t="s">
        <v>181</v>
      </c>
      <c r="B44" s="1989" t="s">
        <v>182</v>
      </c>
      <c r="C44" s="1989"/>
      <c r="D44" s="1989"/>
      <c r="E44" s="2885"/>
      <c r="F44" s="2884">
        <v>1</v>
      </c>
      <c r="G44" s="1989"/>
      <c r="H44" s="1989"/>
      <c r="I44" s="1989"/>
      <c r="J44" s="1989"/>
      <c r="K44" s="1989"/>
      <c r="L44" s="1990"/>
      <c r="M44" s="1991"/>
      <c r="N44" s="1991"/>
      <c r="O44" s="1991"/>
      <c r="P44" s="1958"/>
      <c r="Q44" s="978"/>
      <c r="R44" s="979"/>
      <c r="S44" s="1962" t="str">
        <f>INDEX(PT_DIFFERENTIATION_NUM_TER,MATCH(B44,PT_DIFFERENTIATION_TER_ID,0))</f>
        <v>.</v>
      </c>
      <c r="T44" s="934" t="s">
        <v>415</v>
      </c>
      <c r="U44" s="926"/>
      <c r="V44" s="2868"/>
      <c r="W44" s="2869"/>
      <c r="X44" s="2869"/>
      <c r="Y44" s="2869"/>
      <c r="Z44" s="2869"/>
      <c r="AA44" s="2869"/>
      <c r="AB44" s="2869"/>
      <c r="AC44" s="2870"/>
      <c r="AD44" s="2868" t="str">
        <f>INDEX(PT_DIFFERENTIATION_TER,MATCH(B44,PT_DIFFERENTIATION_TER_ID,0))</f>
        <v/>
      </c>
      <c r="AE44" s="2869"/>
      <c r="AF44" s="2869"/>
      <c r="AG44" s="2869"/>
      <c r="AH44" s="2869"/>
      <c r="AI44" s="2869"/>
      <c r="AJ44" s="2869"/>
      <c r="AK44" s="2869"/>
      <c r="AL44" s="2870"/>
      <c r="AM44" s="1884" t="s">
        <v>416</v>
      </c>
      <c r="AO44" s="1126"/>
      <c r="AP44" s="1126" t="str">
        <f>IF(T44="","",T44)</f>
        <v>Территория действия тарифа</v>
      </c>
      <c r="AQ44" s="1126"/>
      <c r="AR44" s="1126"/>
      <c r="AS44" s="1781">
        <v>21</v>
      </c>
    </row>
    <row customHeight="1" ht="24">
      <c r="A45" s="1989" t="s">
        <v>181</v>
      </c>
      <c r="B45" s="1989" t="s">
        <v>182</v>
      </c>
      <c r="C45" s="1989" t="s">
        <v>183</v>
      </c>
      <c r="D45" s="1989"/>
      <c r="E45" s="2885"/>
      <c r="F45" s="2885"/>
      <c r="G45" s="2884">
        <v>1</v>
      </c>
      <c r="H45" s="1989"/>
      <c r="I45" s="1989"/>
      <c r="J45" s="1989"/>
      <c r="K45" s="1989"/>
      <c r="L45" s="1990"/>
      <c r="M45" s="1991"/>
      <c r="N45" s="1991"/>
      <c r="O45" s="1991"/>
      <c r="P45" s="980"/>
      <c r="Q45" s="978"/>
      <c r="R45" s="979"/>
      <c r="S45" s="1962" t="str">
        <f>INDEX(PT_DIFFERENTIATION_NUM_CS,MATCH(C45,PT_DIFFERENTIATION_CS_ID,0))</f>
        <v>..</v>
      </c>
      <c r="T45" s="935" t="s">
        <v>417</v>
      </c>
      <c r="U45" s="926"/>
      <c r="V45" s="2868"/>
      <c r="W45" s="2869"/>
      <c r="X45" s="2869"/>
      <c r="Y45" s="2869"/>
      <c r="Z45" s="2869"/>
      <c r="AA45" s="2869"/>
      <c r="AB45" s="2869"/>
      <c r="AC45" s="2870"/>
      <c r="AD45" s="2868" t="str">
        <f>INDEX(PT_DIFFERENTIATION_CS,MATCH(C45,PT_DIFFERENTIATION_CS_ID,0))</f>
        <v/>
      </c>
      <c r="AE45" s="2869"/>
      <c r="AF45" s="2869"/>
      <c r="AG45" s="2869"/>
      <c r="AH45" s="2869"/>
      <c r="AI45" s="2869"/>
      <c r="AJ45" s="2869"/>
      <c r="AK45" s="2869"/>
      <c r="AL45" s="2870"/>
      <c r="AM45" s="1884" t="s">
        <v>418</v>
      </c>
      <c r="AO45" s="1126"/>
      <c r="AP45" s="1126" t="str">
        <f>IF(T45="","",T45)</f>
        <v>Наименование системы теплоснабжения </v>
      </c>
      <c r="AQ45" s="1126"/>
      <c r="AR45" s="1126"/>
      <c r="AS45" s="1781">
        <v>23</v>
      </c>
    </row>
    <row customHeight="1" ht="22.049999999999997">
      <c r="A46" s="1989" t="s">
        <v>181</v>
      </c>
      <c r="B46" s="1989" t="s">
        <v>182</v>
      </c>
      <c r="C46" s="1989" t="s">
        <v>183</v>
      </c>
      <c r="D46" s="1989" t="s">
        <v>184</v>
      </c>
      <c r="E46" s="2885"/>
      <c r="F46" s="2885"/>
      <c r="G46" s="2885"/>
      <c r="H46" s="2884">
        <v>1</v>
      </c>
      <c r="I46" s="1989"/>
      <c r="J46" s="1989"/>
      <c r="K46" s="1989"/>
      <c r="L46" s="1990"/>
      <c r="M46" s="1991"/>
      <c r="N46" s="1991"/>
      <c r="O46" s="1991"/>
      <c r="P46" s="980"/>
      <c r="Q46" s="978"/>
      <c r="R46" s="979"/>
      <c r="S46" s="1962" t="str">
        <f>INDEX(PT_DIFFERENTIATION_NUM_IST_TE,MATCH(D46,PT_DIFFERENTIATION_IST_TE_ID,0))</f>
        <v>...</v>
      </c>
      <c r="T46" s="936" t="s">
        <v>419</v>
      </c>
      <c r="U46" s="926"/>
      <c r="V46" s="2868"/>
      <c r="W46" s="2869"/>
      <c r="X46" s="2869"/>
      <c r="Y46" s="2869"/>
      <c r="Z46" s="2869"/>
      <c r="AA46" s="2869"/>
      <c r="AB46" s="2869"/>
      <c r="AC46" s="2870"/>
      <c r="AD46" s="2868" t="str">
        <f>INDEX(PT_DIFFERENTIATION_IST_TE,MATCH(D46,PT_DIFFERENTIATION_IST_TE_ID,0))</f>
        <v/>
      </c>
      <c r="AE46" s="2869"/>
      <c r="AF46" s="2869"/>
      <c r="AG46" s="2869"/>
      <c r="AH46" s="2869"/>
      <c r="AI46" s="2869"/>
      <c r="AJ46" s="2869"/>
      <c r="AK46" s="2869"/>
      <c r="AL46" s="2870"/>
      <c r="AM46" s="1884" t="s">
        <v>420</v>
      </c>
      <c r="AO46" s="1126"/>
      <c r="AP46" s="1126" t="str">
        <f>IF(T46="","",T46)</f>
        <v>Источник тепловой энергии  </v>
      </c>
      <c r="AQ46" s="1126"/>
      <c r="AR46" s="1126"/>
      <c r="AS46" s="1781">
        <v>21</v>
      </c>
    </row>
    <row customHeight="1" ht="49.5">
      <c r="A47" s="1989" t="s">
        <v>181</v>
      </c>
      <c r="B47" s="1989" t="s">
        <v>182</v>
      </c>
      <c r="C47" s="1989" t="s">
        <v>183</v>
      </c>
      <c r="D47" s="1989" t="s">
        <v>184</v>
      </c>
      <c r="E47" s="2885"/>
      <c r="F47" s="2885"/>
      <c r="G47" s="2885"/>
      <c r="H47" s="2885"/>
      <c r="I47" s="2882" t="str">
        <f>S46&amp;".1"</f>
        <v>....1</v>
      </c>
      <c r="J47" s="1989"/>
      <c r="K47" s="1989"/>
      <c r="L47" s="1990" t="s">
        <v>421</v>
      </c>
      <c r="P47" s="2883">
        <v>1</v>
      </c>
      <c r="Q47" s="1957"/>
      <c r="R47" s="982"/>
      <c r="S47" s="1962" t="str">
        <f>$I47</f>
        <v>....1</v>
      </c>
      <c r="T47" s="911" t="s">
        <v>422</v>
      </c>
      <c r="U47" s="926"/>
      <c r="V47" s="2871"/>
      <c r="W47" s="2872"/>
      <c r="X47" s="2872"/>
      <c r="Y47" s="2872"/>
      <c r="Z47" s="2872"/>
      <c r="AA47" s="2872"/>
      <c r="AB47" s="2872"/>
      <c r="AC47" s="2873"/>
      <c r="AD47" s="2871"/>
      <c r="AE47" s="2872"/>
      <c r="AF47" s="2872"/>
      <c r="AG47" s="2872"/>
      <c r="AH47" s="2872"/>
      <c r="AI47" s="2872"/>
      <c r="AJ47" s="2872"/>
      <c r="AK47" s="2872"/>
      <c r="AL47" s="2873"/>
      <c r="AM47" s="1884" t="s">
        <v>423</v>
      </c>
      <c r="AO47" s="1126"/>
      <c r="AP47" s="1126" t="str">
        <f>IF(T47="","",T47)</f>
        <v>Схема подключения теплопотребляющей установки к коллектору источника тепловой энергии</v>
      </c>
      <c r="AQ47" s="1126"/>
      <c r="AR47" s="1126"/>
      <c r="AS47" s="1781">
        <v>47</v>
      </c>
    </row>
    <row customHeight="1" ht="22.049999999999997">
      <c r="A48" s="1989" t="s">
        <v>181</v>
      </c>
      <c r="B48" s="1989" t="s">
        <v>182</v>
      </c>
      <c r="C48" s="1989" t="s">
        <v>183</v>
      </c>
      <c r="D48" s="1989" t="s">
        <v>184</v>
      </c>
      <c r="E48" s="2885"/>
      <c r="F48" s="2885"/>
      <c r="G48" s="2885"/>
      <c r="H48" s="2885"/>
      <c r="I48" s="2912"/>
      <c r="J48" s="2882" t="str">
        <f>I47&amp;".1"</f>
        <v>....1.1</v>
      </c>
      <c r="K48" s="1989"/>
      <c r="L48" s="1990" t="s">
        <v>424</v>
      </c>
      <c r="P48" s="2883"/>
      <c r="Q48" s="2883">
        <v>1</v>
      </c>
      <c r="R48" s="983"/>
      <c r="S48" s="1962" t="str">
        <f>$J48</f>
        <v>....1.1</v>
      </c>
      <c r="T48" s="912" t="s">
        <v>425</v>
      </c>
      <c r="U48" s="926"/>
      <c r="V48" s="2871"/>
      <c r="W48" s="2872"/>
      <c r="X48" s="2872"/>
      <c r="Y48" s="2872"/>
      <c r="Z48" s="2872"/>
      <c r="AA48" s="2872"/>
      <c r="AB48" s="2872"/>
      <c r="AC48" s="2873"/>
      <c r="AD48" s="2871"/>
      <c r="AE48" s="2872"/>
      <c r="AF48" s="2872"/>
      <c r="AG48" s="2872"/>
      <c r="AH48" s="2872"/>
      <c r="AI48" s="2872"/>
      <c r="AJ48" s="2872"/>
      <c r="AK48" s="2872"/>
      <c r="AL48" s="2873"/>
      <c r="AM48" s="1884" t="s">
        <v>426</v>
      </c>
      <c r="AO48" s="1126"/>
      <c r="AP48" s="1126" t="str">
        <f>IF(T48="","",T48)</f>
        <v>Группа потребителей</v>
      </c>
      <c r="AQ48" s="1126"/>
      <c r="AR48" s="1126"/>
      <c r="AS48" s="1781">
        <v>21</v>
      </c>
    </row>
    <row customHeight="1" ht="22.049999999999997">
      <c r="A49" s="1989" t="s">
        <v>181</v>
      </c>
      <c r="B49" s="1989" t="s">
        <v>182</v>
      </c>
      <c r="C49" s="1989" t="s">
        <v>183</v>
      </c>
      <c r="D49" s="1989" t="s">
        <v>184</v>
      </c>
      <c r="E49" s="2885"/>
      <c r="F49" s="2885"/>
      <c r="G49" s="2885"/>
      <c r="H49" s="2885"/>
      <c r="I49" s="2912"/>
      <c r="J49" s="2912"/>
      <c r="K49" s="2882" t="str">
        <f>J48&amp;".1"</f>
        <v>....1.1.1</v>
      </c>
      <c r="L49" s="1990" t="s">
        <v>427</v>
      </c>
      <c r="P49" s="2883"/>
      <c r="Q49" s="2883"/>
      <c r="R49" s="983">
        <v>1</v>
      </c>
      <c r="S49" s="1962" t="str">
        <f>$K49</f>
        <v>....1.1.1</v>
      </c>
      <c r="T49" s="1973"/>
      <c r="U49" s="926"/>
      <c r="V49" s="1377"/>
      <c r="W49" s="951"/>
      <c r="X49" s="1377"/>
      <c r="Y49" s="1883"/>
      <c r="Z49" s="2891"/>
      <c r="AA49" s="2733" t="s">
        <v>66</v>
      </c>
      <c r="AB49" s="2891"/>
      <c r="AC49" s="2733" t="s">
        <v>66</v>
      </c>
      <c r="AD49" s="1377"/>
      <c r="AE49" s="951"/>
      <c r="AF49" s="1377"/>
      <c r="AG49" s="1883"/>
      <c r="AH49" s="2891"/>
      <c r="AI49" s="2733" t="s">
        <v>66</v>
      </c>
      <c r="AJ49" s="2913"/>
      <c r="AK49" s="2733" t="s">
        <v>66</v>
      </c>
      <c r="AL49" s="1974"/>
      <c r="AM49" s="2879" t="s">
        <v>428</v>
      </c>
      <c r="AN49" s="1137">
        <f>STRCHECKDATE(V50:AL50)</f>
      </c>
      <c r="AO49" s="1126"/>
      <c r="AP49" s="1126" t="str">
        <f>IF(T49="","",T49)</f>
        <v/>
      </c>
      <c r="AQ49" s="1126"/>
      <c r="AR49" s="1126"/>
      <c r="AS49" s="1781">
        <v>21</v>
      </c>
    </row>
    <row customHeight="1" ht="1.05">
      <c r="A50" s="1989" t="s">
        <v>181</v>
      </c>
      <c r="B50" s="1989" t="s">
        <v>182</v>
      </c>
      <c r="C50" s="1989" t="s">
        <v>183</v>
      </c>
      <c r="D50" s="1989" t="s">
        <v>184</v>
      </c>
      <c r="E50" s="2885"/>
      <c r="F50" s="2885"/>
      <c r="G50" s="2885"/>
      <c r="H50" s="2885"/>
      <c r="I50" s="2912"/>
      <c r="J50" s="2912"/>
      <c r="K50" s="2882"/>
      <c r="L50" s="1990"/>
      <c r="P50" s="2883"/>
      <c r="Q50" s="2883"/>
      <c r="R50" s="983"/>
      <c r="S50" s="1968"/>
      <c r="T50" s="926"/>
      <c r="U50" s="926"/>
      <c r="V50" s="951"/>
      <c r="W50" s="951"/>
      <c r="X50" s="951"/>
      <c r="Y50" s="954" t="str">
        <f>Z49&amp;"-"&amp;AB49</f>
        <v>-</v>
      </c>
      <c r="Z50" s="2892"/>
      <c r="AA50" s="2733"/>
      <c r="AB50" s="2892"/>
      <c r="AC50" s="2733"/>
      <c r="AD50" s="951"/>
      <c r="AE50" s="951"/>
      <c r="AF50" s="951"/>
      <c r="AG50" s="954" t="str">
        <f>AH49&amp;"-"&amp;AJ49</f>
        <v>-</v>
      </c>
      <c r="AH50" s="2892"/>
      <c r="AI50" s="2733"/>
      <c r="AJ50" s="2914"/>
      <c r="AK50" s="2733"/>
      <c r="AL50" s="1975"/>
      <c r="AM50" s="2880"/>
      <c r="AO50" s="1126"/>
      <c r="AP50" s="1126" t="str">
        <f>IF(T50="","",T50)</f>
        <v/>
      </c>
      <c r="AQ50" s="1126"/>
      <c r="AR50" s="1126"/>
      <c r="AS50" s="1781">
        <v>1</v>
      </c>
    </row>
    <row customHeight="1" ht="11.549999999999999">
      <c r="A51" s="1989" t="s">
        <v>181</v>
      </c>
      <c r="B51" s="1989" t="s">
        <v>182</v>
      </c>
      <c r="C51" s="1989" t="s">
        <v>183</v>
      </c>
      <c r="D51" s="1989" t="s">
        <v>184</v>
      </c>
      <c r="E51" s="2885"/>
      <c r="F51" s="2885"/>
      <c r="G51" s="2885"/>
      <c r="H51" s="2885"/>
      <c r="I51" s="2912"/>
      <c r="J51" s="2882"/>
      <c r="K51" s="1989"/>
      <c r="L51" s="1990"/>
      <c r="P51" s="2883"/>
      <c r="Q51" s="2883"/>
      <c r="R51" s="982"/>
      <c r="S51" s="1904"/>
      <c r="T51" s="914" t="s">
        <v>429</v>
      </c>
      <c r="U51" s="993"/>
      <c r="V51" s="993"/>
      <c r="W51" s="993"/>
      <c r="X51" s="993"/>
      <c r="Y51" s="993"/>
      <c r="Z51" s="993"/>
      <c r="AA51" s="993"/>
      <c r="AB51" s="993"/>
      <c r="AC51" s="993"/>
      <c r="AD51" s="993"/>
      <c r="AE51" s="993"/>
      <c r="AF51" s="993"/>
      <c r="AG51" s="993"/>
      <c r="AH51" s="993"/>
      <c r="AI51" s="993"/>
      <c r="AJ51" s="993"/>
      <c r="AK51" s="993"/>
      <c r="AL51" s="950"/>
      <c r="AM51" s="2881"/>
      <c r="AO51" s="1126"/>
      <c r="AP51" s="1126" t="str">
        <f>IF(T51="","",T51)</f>
        <v>Добавить вид теплоносителя (параметры теплоносителя)</v>
      </c>
      <c r="AQ51" s="1126"/>
      <c r="AR51" s="1126"/>
      <c r="AS51" s="1781">
        <v>11</v>
      </c>
    </row>
    <row customHeight="1" ht="11.549999999999999">
      <c r="A52" s="1989" t="s">
        <v>181</v>
      </c>
      <c r="B52" s="1989" t="s">
        <v>182</v>
      </c>
      <c r="C52" s="1989" t="s">
        <v>183</v>
      </c>
      <c r="D52" s="1989" t="s">
        <v>184</v>
      </c>
      <c r="E52" s="2885"/>
      <c r="F52" s="2885"/>
      <c r="G52" s="2885"/>
      <c r="H52" s="2885"/>
      <c r="I52" s="2882"/>
      <c r="J52" s="1989"/>
      <c r="K52" s="1989"/>
      <c r="L52" s="1990"/>
      <c r="P52" s="2883"/>
      <c r="Q52" s="1957"/>
      <c r="R52" s="982"/>
      <c r="S52" s="1904"/>
      <c r="T52" s="913" t="s">
        <v>430</v>
      </c>
      <c r="U52" s="993"/>
      <c r="V52" s="993"/>
      <c r="W52" s="993"/>
      <c r="X52" s="993"/>
      <c r="Y52" s="993"/>
      <c r="Z52" s="993"/>
      <c r="AA52" s="993"/>
      <c r="AB52" s="993"/>
      <c r="AC52" s="992"/>
      <c r="AD52" s="993"/>
      <c r="AE52" s="993"/>
      <c r="AF52" s="993"/>
      <c r="AG52" s="993"/>
      <c r="AH52" s="993"/>
      <c r="AI52" s="993"/>
      <c r="AJ52" s="993"/>
      <c r="AK52" s="992"/>
      <c r="AL52" s="993"/>
      <c r="AM52" s="929"/>
      <c r="AO52" s="1126"/>
      <c r="AP52" s="1126" t="str">
        <f>IF(T52="","",T52)</f>
        <v>Добавить группу потребителей</v>
      </c>
      <c r="AQ52" s="1126"/>
      <c r="AR52" s="1126"/>
      <c r="AS52" s="1781">
        <v>11</v>
      </c>
    </row>
    <row customHeight="1" ht="14.699999999999998">
      <c r="A53" s="1989" t="s">
        <v>181</v>
      </c>
      <c r="B53" s="1989" t="s">
        <v>182</v>
      </c>
      <c r="C53" s="1989" t="s">
        <v>183</v>
      </c>
      <c r="D53" s="1989" t="s">
        <v>184</v>
      </c>
      <c r="E53" s="2885"/>
      <c r="F53" s="2885"/>
      <c r="G53" s="2885"/>
      <c r="H53" s="2884"/>
      <c r="I53" s="1989"/>
      <c r="J53" s="1989"/>
      <c r="K53" s="1989"/>
      <c r="L53" s="1990"/>
      <c r="M53" s="1991"/>
      <c r="N53" s="1991"/>
      <c r="O53" s="1163"/>
      <c r="P53" s="986"/>
      <c r="Q53" s="1001"/>
      <c r="R53" s="981"/>
      <c r="S53" s="1904"/>
      <c r="T53" s="991" t="s">
        <v>431</v>
      </c>
      <c r="U53" s="993"/>
      <c r="V53" s="993"/>
      <c r="W53" s="993"/>
      <c r="X53" s="993"/>
      <c r="Y53" s="993"/>
      <c r="Z53" s="993"/>
      <c r="AA53" s="993"/>
      <c r="AB53" s="993"/>
      <c r="AC53" s="992"/>
      <c r="AD53" s="993"/>
      <c r="AE53" s="993"/>
      <c r="AF53" s="993"/>
      <c r="AG53" s="993"/>
      <c r="AH53" s="993"/>
      <c r="AI53" s="993"/>
      <c r="AJ53" s="993"/>
      <c r="AK53" s="992"/>
      <c r="AL53" s="993"/>
      <c r="AM53" s="929"/>
      <c r="AO53" s="1126"/>
      <c r="AP53" s="1126" t="str">
        <f>IF(T53="","",T53)</f>
        <v>Добавить схему подключения</v>
      </c>
      <c r="AQ53" s="1126"/>
      <c r="AR53" s="1126"/>
      <c r="AS53" s="1781">
        <v>14</v>
      </c>
    </row>
    <row s="34658" customFormat="1" customHeight="1" ht="1.05">
      <c r="A54" s="1969" t="s">
        <v>181</v>
      </c>
      <c r="B54" s="1969" t="s">
        <v>182</v>
      </c>
      <c r="C54" s="1969" t="s">
        <v>183</v>
      </c>
      <c r="D54" s="1940"/>
      <c r="E54" s="2885"/>
      <c r="F54" s="2885"/>
      <c r="G54" s="2884"/>
      <c r="H54" s="1940"/>
      <c r="I54" s="1940"/>
      <c r="J54" s="1940"/>
      <c r="K54" s="1940"/>
      <c r="L54" s="1965"/>
      <c r="M54" s="1941"/>
      <c r="N54" s="1941"/>
      <c r="P54" s="1942"/>
      <c r="Q54" s="1943"/>
      <c r="R54" s="1942"/>
      <c r="S54" s="1948"/>
      <c r="T54" s="1951" t="s">
        <v>432</v>
      </c>
      <c r="U54" s="1950"/>
      <c r="V54" s="1950"/>
      <c r="W54" s="1950"/>
      <c r="X54" s="1950"/>
      <c r="Y54" s="1950"/>
      <c r="Z54" s="1950"/>
      <c r="AA54" s="1950"/>
      <c r="AB54" s="1950"/>
      <c r="AC54" s="1950"/>
      <c r="AD54" s="1950"/>
      <c r="AE54" s="1950"/>
      <c r="AF54" s="1950"/>
      <c r="AG54" s="1950"/>
      <c r="AH54" s="1950"/>
      <c r="AI54" s="1950"/>
      <c r="AJ54" s="1950"/>
      <c r="AK54" s="1950"/>
      <c r="AL54" s="1950"/>
      <c r="AM54" s="1950"/>
      <c r="AO54" s="1415"/>
      <c r="AP54" s="1415" t="str">
        <f>IF(T54="","",T54)</f>
        <v>Добавить источник для дифференциации</v>
      </c>
      <c r="AQ54" s="1415"/>
      <c r="AR54" s="1415"/>
      <c r="AS54" s="1144">
        <v>1</v>
      </c>
    </row>
    <row s="34658" customFormat="1" customHeight="1" ht="1.05">
      <c r="A55" s="1969" t="s">
        <v>181</v>
      </c>
      <c r="B55" s="1969" t="s">
        <v>182</v>
      </c>
      <c r="C55" s="1940"/>
      <c r="D55" s="1940"/>
      <c r="E55" s="2885"/>
      <c r="F55" s="2884"/>
      <c r="G55" s="1940"/>
      <c r="H55" s="1940"/>
      <c r="I55" s="1940"/>
      <c r="J55" s="1940"/>
      <c r="K55" s="1940"/>
      <c r="L55" s="1965"/>
      <c r="M55" s="1947"/>
      <c r="N55" s="1947"/>
      <c r="P55" s="1942"/>
      <c r="Q55" s="1943"/>
      <c r="R55" s="1942"/>
      <c r="S55" s="1948"/>
      <c r="T55" s="1951" t="s">
        <v>433</v>
      </c>
      <c r="U55" s="1950"/>
      <c r="V55" s="1950"/>
      <c r="W55" s="1950"/>
      <c r="X55" s="1950"/>
      <c r="Y55" s="1950"/>
      <c r="Z55" s="1950"/>
      <c r="AA55" s="1950"/>
      <c r="AB55" s="1950"/>
      <c r="AC55" s="1950"/>
      <c r="AD55" s="1950"/>
      <c r="AE55" s="1950"/>
      <c r="AF55" s="1950"/>
      <c r="AG55" s="1950"/>
      <c r="AH55" s="1950"/>
      <c r="AI55" s="1950"/>
      <c r="AJ55" s="1950"/>
      <c r="AK55" s="1950"/>
      <c r="AL55" s="1950"/>
      <c r="AM55" s="1950"/>
      <c r="AO55" s="1415"/>
      <c r="AP55" s="1415" t="str">
        <f>IF(T55="","",T55)</f>
        <v>Добавить централизованную систему для дифференциации</v>
      </c>
      <c r="AQ55" s="1415"/>
      <c r="AR55" s="1415"/>
      <c r="AS55" s="1144">
        <v>1</v>
      </c>
    </row>
    <row s="34658" customFormat="1" customHeight="1" ht="1.05">
      <c r="A56" s="1969" t="s">
        <v>181</v>
      </c>
      <c r="B56" s="1969"/>
      <c r="C56" s="1969"/>
      <c r="D56" s="1969"/>
      <c r="E56" s="2884"/>
      <c r="F56" s="1969"/>
      <c r="G56" s="1969"/>
      <c r="H56" s="1969"/>
      <c r="I56" s="1969"/>
      <c r="J56" s="1969"/>
      <c r="K56" s="1969"/>
      <c r="L56" s="1972"/>
      <c r="M56" s="1947"/>
      <c r="N56" s="1947"/>
      <c r="O56" s="1144"/>
      <c r="P56" s="1006"/>
      <c r="Q56" s="1970"/>
      <c r="R56" s="1006"/>
      <c r="S56" s="1948"/>
      <c r="T56" s="1951" t="s">
        <v>434</v>
      </c>
      <c r="U56" s="1950"/>
      <c r="V56" s="1950"/>
      <c r="W56" s="1950"/>
      <c r="X56" s="1950"/>
      <c r="Y56" s="1950"/>
      <c r="Z56" s="1950"/>
      <c r="AA56" s="1950"/>
      <c r="AB56" s="1950"/>
      <c r="AC56" s="1950"/>
      <c r="AD56" s="1950"/>
      <c r="AE56" s="1950"/>
      <c r="AF56" s="1950"/>
      <c r="AG56" s="1950"/>
      <c r="AH56" s="1950"/>
      <c r="AI56" s="1950"/>
      <c r="AJ56" s="1950"/>
      <c r="AK56" s="1950"/>
      <c r="AL56" s="1950"/>
      <c r="AM56" s="1950"/>
      <c r="AO56" s="1126"/>
      <c r="AP56" s="1126" t="str">
        <f>IF(T56="","",T56)</f>
        <v>Добавить территорию для дифференциации</v>
      </c>
      <c r="AQ56" s="1126"/>
      <c r="AR56" s="1126"/>
      <c r="AS56" s="1137">
        <v>1</v>
      </c>
    </row>
    <row s="34658" customFormat="1" customHeight="1" ht="1.05">
      <c r="A57" s="1940"/>
      <c r="B57" s="1940"/>
      <c r="C57" s="1940"/>
      <c r="D57" s="1940"/>
      <c r="E57" s="1969"/>
      <c r="F57" s="1940"/>
      <c r="G57" s="1940"/>
      <c r="H57" s="1940"/>
      <c r="I57" s="1940"/>
      <c r="J57" s="1940"/>
      <c r="K57" s="1940"/>
      <c r="L57" s="1965"/>
      <c r="M57" s="1947"/>
      <c r="N57" s="1947"/>
      <c r="P57" s="1942"/>
      <c r="Q57" s="1943"/>
      <c r="R57" s="1942"/>
      <c r="S57" s="1948"/>
      <c r="T57" s="1951" t="s">
        <v>466</v>
      </c>
      <c r="U57" s="1950"/>
      <c r="V57" s="1950"/>
      <c r="W57" s="1950"/>
      <c r="X57" s="1950"/>
      <c r="Y57" s="1950"/>
      <c r="Z57" s="1950"/>
      <c r="AA57" s="1950"/>
      <c r="AB57" s="1950"/>
      <c r="AC57" s="1950"/>
      <c r="AD57" s="1950"/>
      <c r="AE57" s="1950"/>
      <c r="AF57" s="1950"/>
      <c r="AG57" s="1950"/>
      <c r="AH57" s="1950"/>
      <c r="AI57" s="1950"/>
      <c r="AJ57" s="1950"/>
      <c r="AK57" s="1950"/>
      <c r="AL57" s="1950"/>
      <c r="AM57" s="1950"/>
      <c r="AO57" s="1415"/>
      <c r="AP57" s="1415" t="str">
        <f>IF(T57="","",T57)</f>
        <v>Добавить наименование тарифа</v>
      </c>
      <c r="AQ57" s="1415"/>
      <c r="AR57" s="1415"/>
      <c r="AS57" s="1144">
        <v>1</v>
      </c>
    </row>
    <row customHeight="1" ht="11.549999999999999">
      <c r="M58" s="1786"/>
      <c r="N58" s="1786"/>
      <c r="O58" s="1163"/>
      <c r="P58" s="1781"/>
      <c r="Q58" s="1781"/>
      <c r="R58" s="1781"/>
      <c r="S58" s="1781"/>
      <c r="AN58" s="1781"/>
      <c r="AO58" s="1781"/>
      <c r="AP58" s="1781"/>
      <c r="AQ58" s="1781"/>
      <c r="AR58" s="1781"/>
      <c r="AS58" s="1781">
        <v>11</v>
      </c>
    </row>
    <row customHeight="1" ht="28.5">
      <c r="O59" s="1163"/>
      <c r="S59" s="1879"/>
      <c r="T59" s="2911"/>
      <c r="U59" s="2911"/>
      <c r="V59" s="2911"/>
      <c r="W59" s="2911"/>
      <c r="X59" s="2911"/>
      <c r="Y59" s="2911"/>
      <c r="Z59" s="2911"/>
      <c r="AA59" s="2911"/>
      <c r="AB59" s="2911"/>
      <c r="AC59" s="2911"/>
      <c r="AD59" s="2911"/>
      <c r="AE59" s="2911"/>
      <c r="AF59" s="2911"/>
      <c r="AG59" s="2911"/>
      <c r="AH59" s="2911"/>
      <c r="AI59" s="2911"/>
      <c r="AJ59" s="2911"/>
      <c r="AK59" s="2911"/>
      <c r="AL59" s="2911"/>
      <c r="AM59" s="2911"/>
      <c r="AS59" s="1781">
        <v>27</v>
      </c>
    </row>
    <row customHeight="1" ht="65.25">
      <c r="O60" s="1163"/>
      <c r="T60" s="2911"/>
      <c r="U60" s="2911"/>
      <c r="V60" s="2911"/>
      <c r="W60" s="2911"/>
      <c r="X60" s="2911"/>
      <c r="Y60" s="2911"/>
      <c r="Z60" s="2911"/>
      <c r="AA60" s="2911"/>
      <c r="AB60" s="2911"/>
      <c r="AC60" s="2911"/>
      <c r="AD60" s="2911"/>
      <c r="AE60" s="2911"/>
      <c r="AF60" s="2911"/>
      <c r="AG60" s="2911"/>
      <c r="AH60" s="2911"/>
      <c r="AI60" s="2911"/>
      <c r="AJ60" s="2911"/>
      <c r="AK60" s="2911"/>
      <c r="AL60" s="2911"/>
      <c r="AM60" s="2911"/>
      <c r="AS60" s="1781">
        <v>62</v>
      </c>
    </row>
    <row customHeight="1" ht="14.699999999999998">
      <c r="O61" s="1163"/>
      <c r="AS61" s="1781">
        <v>14</v>
      </c>
    </row>
    <row customHeight="1" ht="18.75">
      <c r="O62" s="1163"/>
      <c r="S62" s="1879"/>
      <c r="T62" s="2911"/>
      <c r="U62" s="2911"/>
      <c r="V62" s="2911"/>
      <c r="W62" s="2911"/>
      <c r="X62" s="2911"/>
      <c r="Y62" s="2911"/>
      <c r="Z62" s="2911"/>
      <c r="AA62" s="2911"/>
      <c r="AB62" s="2911"/>
      <c r="AC62" s="2911"/>
      <c r="AD62" s="2911"/>
      <c r="AE62" s="2911"/>
      <c r="AF62" s="2911"/>
      <c r="AG62" s="2911"/>
      <c r="AH62" s="2911"/>
      <c r="AI62" s="2911"/>
      <c r="AJ62" s="2911"/>
      <c r="AK62" s="2911"/>
      <c r="AL62" s="2911"/>
      <c r="AM62" s="2911"/>
      <c r="AS62" s="1781">
        <v>18</v>
      </c>
    </row>
    <row customHeight="1" ht="18.75">
      <c r="O63" s="1163"/>
      <c r="T63" s="2911"/>
      <c r="U63" s="2911"/>
      <c r="V63" s="2911"/>
      <c r="W63" s="2911"/>
      <c r="X63" s="2911"/>
      <c r="Y63" s="2911"/>
      <c r="Z63" s="2911"/>
      <c r="AA63" s="2911"/>
      <c r="AB63" s="2911"/>
      <c r="AC63" s="2911"/>
      <c r="AD63" s="2911"/>
      <c r="AE63" s="2911"/>
      <c r="AF63" s="2911"/>
      <c r="AG63" s="2911"/>
      <c r="AH63" s="2911"/>
      <c r="AI63" s="2911"/>
      <c r="AJ63" s="2911"/>
      <c r="AK63" s="2911"/>
      <c r="AL63" s="2911"/>
      <c r="AM63" s="2911"/>
      <c r="AS63" s="1781">
        <v>18</v>
      </c>
    </row>
    <row customHeight="1" ht="29.25">
      <c r="O64" s="1163"/>
      <c r="S64" s="1879"/>
      <c r="T64" s="2911"/>
      <c r="U64" s="2911"/>
      <c r="V64" s="2911"/>
      <c r="W64" s="2911"/>
      <c r="X64" s="2911"/>
      <c r="Y64" s="2911"/>
      <c r="Z64" s="2911"/>
      <c r="AA64" s="2911"/>
      <c r="AB64" s="2911"/>
      <c r="AC64" s="2911"/>
      <c r="AD64" s="2911"/>
      <c r="AE64" s="2911"/>
      <c r="AF64" s="2911"/>
      <c r="AG64" s="2911"/>
      <c r="AH64" s="2911"/>
      <c r="AI64" s="2911"/>
      <c r="AJ64" s="2911"/>
      <c r="AK64" s="2911"/>
      <c r="AL64" s="2911"/>
      <c r="AM64" s="2911"/>
      <c r="AS64" s="1781">
        <v>28</v>
      </c>
    </row>
    <row customHeight="1" ht="22.5" hidden="1">
      <c r="A65" s="1786" t="s">
        <v>82</v>
      </c>
      <c r="B65" s="1786">
        <v>0</v>
      </c>
      <c r="C65" s="1786">
        <v>0</v>
      </c>
      <c r="D65" s="1786">
        <v>0</v>
      </c>
      <c r="E65" s="1786">
        <v>0</v>
      </c>
      <c r="F65" s="1786">
        <v>0</v>
      </c>
      <c r="G65" s="1786">
        <v>0</v>
      </c>
      <c r="H65" s="1786">
        <v>0</v>
      </c>
      <c r="I65" s="1786">
        <v>0</v>
      </c>
      <c r="J65" s="1786">
        <v>0</v>
      </c>
      <c r="K65" s="1786">
        <v>0</v>
      </c>
      <c r="L65" s="1955">
        <v>0</v>
      </c>
      <c r="M65" s="1988">
        <v>0</v>
      </c>
      <c r="N65" s="1988">
        <v>0</v>
      </c>
      <c r="O65" s="1988">
        <v>0</v>
      </c>
      <c r="P65" s="1954">
        <v>3</v>
      </c>
      <c r="Q65" s="970">
        <v>3</v>
      </c>
      <c r="R65" s="970">
        <v>3</v>
      </c>
      <c r="S65" s="1207">
        <v>12</v>
      </c>
      <c r="T65" s="1781">
        <v>31</v>
      </c>
      <c r="U65" s="1781">
        <v>0</v>
      </c>
      <c r="V65" s="1781">
        <v>0</v>
      </c>
      <c r="W65" s="1781">
        <v>0</v>
      </c>
      <c r="X65" s="1781">
        <v>0</v>
      </c>
      <c r="Y65" s="1781">
        <v>0</v>
      </c>
      <c r="Z65" s="1781">
        <v>0</v>
      </c>
      <c r="AA65" s="1781">
        <v>0</v>
      </c>
      <c r="AB65" s="1781">
        <v>0</v>
      </c>
      <c r="AC65" s="1781">
        <v>0</v>
      </c>
      <c r="AD65" s="1781">
        <v>24</v>
      </c>
      <c r="AE65" s="1781">
        <v>0</v>
      </c>
      <c r="AF65" s="1781">
        <v>24</v>
      </c>
      <c r="AG65" s="1781">
        <v>24</v>
      </c>
      <c r="AH65" s="1781">
        <v>11</v>
      </c>
      <c r="AI65" s="1781">
        <v>3</v>
      </c>
      <c r="AJ65" s="1781">
        <v>11</v>
      </c>
      <c r="AK65" s="1781">
        <v>0</v>
      </c>
      <c r="AL65" s="1781">
        <v>4</v>
      </c>
      <c r="AM65" s="1781">
        <v>115</v>
      </c>
      <c r="AN65" s="1137">
        <v>10</v>
      </c>
      <c r="AO65" s="1137">
        <v>10</v>
      </c>
      <c r="AP65" s="1137">
        <v>10</v>
      </c>
      <c r="AQ65" s="1137">
        <v>10</v>
      </c>
      <c r="AR65" s="1137">
        <v>10</v>
      </c>
      <c r="AS65" s="1781">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A2CEA8-F705-ECA9-7619-40459863141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4580" width="10.57421875" hidden="1"/>
    <col min="2" max="2" style="34580" width="11.00390625" hidden="1" customWidth="1"/>
    <col min="3" max="3" style="34580" width="10.57421875" hidden="1"/>
    <col min="4" max="4" style="34580" width="11.8515625" hidden="1" customWidth="1"/>
    <col min="5" max="5" style="34580" width="10.00390625" hidden="1" customWidth="1"/>
    <col min="6" max="6" style="34580" width="8.7109375" hidden="1" customWidth="1"/>
    <col min="7" max="7" style="34580" width="7.57421875" hidden="1" customWidth="1"/>
    <col min="8" max="8" style="34580" width="11.421875" hidden="1" customWidth="1"/>
    <col min="9" max="9" style="34580" width="12.00390625" hidden="1" customWidth="1"/>
    <col min="10" max="10" style="34580" width="9.8515625" hidden="1" customWidth="1"/>
    <col min="11" max="11" style="34580" width="11.421875" hidden="1" customWidth="1"/>
    <col min="12" max="12" style="34655" width="19.140625" hidden="1" customWidth="1"/>
    <col min="13" max="14" style="35441" width="12.28125" hidden="1" customWidth="1"/>
    <col min="15" max="15" style="35441" width="23.421875" hidden="1" customWidth="1"/>
    <col min="16" max="16" style="35441" width="3.00390625" customWidth="1"/>
    <col min="17" max="18" style="35442" width="3.00390625" customWidth="1"/>
    <col min="19" max="19" style="35443" width="12.00390625" customWidth="1"/>
    <col min="20" max="20" style="34580" width="31.00390625" customWidth="1"/>
    <col min="21" max="21" style="34580" width="0.140625" customWidth="1"/>
    <col min="22" max="22" style="34580" width="24.7109375" hidden="1" customWidth="1"/>
    <col min="23" max="23" style="34580" width="0.140625" hidden="1" customWidth="1"/>
    <col min="24" max="25" style="34580" width="24.710937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24.7109375" customWidth="1"/>
    <col min="31" max="31" style="34580" width="0.140625" customWidth="1"/>
    <col min="32" max="33" style="34580" width="24.00390625" customWidth="1"/>
    <col min="34" max="34" style="34580" width="11.00390625" customWidth="1"/>
    <col min="35" max="35" style="34580" width="3.7109375" customWidth="1"/>
    <col min="36" max="36" style="34580" width="11.00390625" customWidth="1"/>
    <col min="37" max="37" style="34580" width="8.57421875" hidden="1" customWidth="1"/>
    <col min="38" max="38" style="34580" width="4.00390625" customWidth="1"/>
    <col min="39" max="39" style="34580" width="115.00390625" customWidth="1"/>
    <col min="40" max="44" style="34658" width="10.00390625" customWidth="1"/>
    <col min="45" max="45" style="34580" width="10.57421875" hidden="1"/>
  </cols>
  <sheetData>
    <row customHeight="1" ht="22.5" hidden="1">
      <c r="AS1" s="2257" t="s">
        <v>14</v>
      </c>
    </row>
    <row customHeight="1" ht="21" hidden="1">
      <c r="A2" s="1893"/>
      <c r="B2" s="1893"/>
      <c r="C2" s="1893"/>
      <c r="D2" s="1893"/>
      <c r="E2" s="2915">
        <v>1</v>
      </c>
      <c r="F2" s="1893"/>
      <c r="G2" s="1893"/>
      <c r="H2" s="1893"/>
      <c r="I2" s="1893"/>
      <c r="J2" s="1893"/>
      <c r="K2" s="1893"/>
      <c r="L2" s="1936"/>
      <c r="M2" s="2236"/>
      <c r="N2" s="2236"/>
      <c r="O2" s="2236"/>
      <c r="P2" s="2216"/>
      <c r="Q2" s="986"/>
      <c r="R2" s="981"/>
      <c r="S2" s="2584">
        <f>INDEX(PT_DIFFERENTIATION_NUM_NTAR,MATCH(A2,PT_DIFFERENTIATION_NTAR_ID,0))</f>
      </c>
      <c r="T2" s="2151" t="s">
        <v>143</v>
      </c>
      <c r="U2" s="926"/>
      <c r="V2" s="2868"/>
      <c r="W2" s="2869"/>
      <c r="X2" s="2869"/>
      <c r="Y2" s="2869"/>
      <c r="Z2" s="2869"/>
      <c r="AA2" s="2869"/>
      <c r="AB2" s="2869"/>
      <c r="AC2" s="2870"/>
      <c r="AD2" s="2868">
        <f>INDEX(PT_DIFFERENTIATION_NTAR,MATCH(A2,PT_DIFFERENTIATION_NTAR_ID,0))</f>
      </c>
      <c r="AE2" s="2869"/>
      <c r="AF2" s="2869"/>
      <c r="AG2" s="2869"/>
      <c r="AH2" s="2869"/>
      <c r="AI2" s="2869"/>
      <c r="AJ2" s="2869"/>
      <c r="AK2" s="2869"/>
      <c r="AL2" s="2870"/>
      <c r="AM2" s="1884" t="s">
        <v>414</v>
      </c>
      <c r="AO2" s="2250"/>
      <c r="AP2" s="2250" t="str">
        <f>IF(T2="","",T2)</f>
        <v>Наименование тарифа</v>
      </c>
      <c r="AQ2" s="2250"/>
      <c r="AR2" s="2250"/>
      <c r="AS2" s="2257">
        <v>0</v>
      </c>
    </row>
    <row customHeight="1" ht="21" hidden="1">
      <c r="A3" s="1893"/>
      <c r="B3" s="1893"/>
      <c r="C3" s="1893"/>
      <c r="D3" s="1893"/>
      <c r="E3" s="2916"/>
      <c r="F3" s="2915">
        <v>1</v>
      </c>
      <c r="G3" s="1893"/>
      <c r="H3" s="1893"/>
      <c r="I3" s="1893"/>
      <c r="J3" s="1893"/>
      <c r="K3" s="1893"/>
      <c r="L3" s="1936"/>
      <c r="M3" s="2236"/>
      <c r="N3" s="2236"/>
      <c r="O3" s="2236"/>
      <c r="P3" s="2566"/>
      <c r="Q3" s="978"/>
      <c r="R3" s="979"/>
      <c r="S3" s="2584">
        <f>INDEX(PT_DIFFERENTIATION_NUM_TER,MATCH(B3,PT_DIFFERENTIATION_TER_ID,0))</f>
      </c>
      <c r="T3" s="2148" t="s">
        <v>415</v>
      </c>
      <c r="U3" s="926"/>
      <c r="V3" s="2868"/>
      <c r="W3" s="2869"/>
      <c r="X3" s="2869"/>
      <c r="Y3" s="2869"/>
      <c r="Z3" s="2869"/>
      <c r="AA3" s="2869"/>
      <c r="AB3" s="2869"/>
      <c r="AC3" s="2870"/>
      <c r="AD3" s="2868">
        <f>INDEX(PT_DIFFERENTIATION_TER,MATCH(B3,PT_DIFFERENTIATION_TER_ID,0))</f>
      </c>
      <c r="AE3" s="2869"/>
      <c r="AF3" s="2869"/>
      <c r="AG3" s="2869"/>
      <c r="AH3" s="2869"/>
      <c r="AI3" s="2869"/>
      <c r="AJ3" s="2869"/>
      <c r="AK3" s="2869"/>
      <c r="AL3" s="2870"/>
      <c r="AM3" s="1884" t="s">
        <v>416</v>
      </c>
      <c r="AO3" s="2250"/>
      <c r="AP3" s="2250" t="str">
        <f>IF(T3="","",T3)</f>
        <v>Территория действия тарифа</v>
      </c>
      <c r="AQ3" s="2250"/>
      <c r="AR3" s="2250"/>
      <c r="AS3" s="2257">
        <v>0</v>
      </c>
    </row>
    <row customHeight="1" ht="23.25" hidden="1">
      <c r="A4" s="1893"/>
      <c r="B4" s="1893"/>
      <c r="C4" s="1893"/>
      <c r="D4" s="1893"/>
      <c r="E4" s="2916"/>
      <c r="F4" s="2916"/>
      <c r="G4" s="2915">
        <v>1</v>
      </c>
      <c r="H4" s="1893"/>
      <c r="I4" s="1893"/>
      <c r="J4" s="1893"/>
      <c r="K4" s="1893"/>
      <c r="L4" s="1936"/>
      <c r="M4" s="2236"/>
      <c r="N4" s="2236"/>
      <c r="O4" s="2236"/>
      <c r="P4" s="980"/>
      <c r="Q4" s="978"/>
      <c r="R4" s="979"/>
      <c r="S4" s="2584">
        <f>INDEX(PT_DIFFERENTIATION_NUM_CS,MATCH(C4,PT_DIFFERENTIATION_CS_ID,0))</f>
      </c>
      <c r="T4" s="935" t="s">
        <v>417</v>
      </c>
      <c r="U4" s="926"/>
      <c r="V4" s="2868"/>
      <c r="W4" s="2869"/>
      <c r="X4" s="2869"/>
      <c r="Y4" s="2869"/>
      <c r="Z4" s="2869"/>
      <c r="AA4" s="2869"/>
      <c r="AB4" s="2869"/>
      <c r="AC4" s="2870"/>
      <c r="AD4" s="2868">
        <f>INDEX(PT_DIFFERENTIATION_CS,MATCH(C4,PT_DIFFERENTIATION_CS_ID,0))</f>
      </c>
      <c r="AE4" s="2869"/>
      <c r="AF4" s="2869"/>
      <c r="AG4" s="2869"/>
      <c r="AH4" s="2869"/>
      <c r="AI4" s="2869"/>
      <c r="AJ4" s="2869"/>
      <c r="AK4" s="2869"/>
      <c r="AL4" s="2870"/>
      <c r="AM4" s="1884" t="s">
        <v>418</v>
      </c>
      <c r="AO4" s="2250"/>
      <c r="AP4" s="2250" t="str">
        <f>IF(T4="","",T4)</f>
        <v>Наименование системы теплоснабжения </v>
      </c>
      <c r="AQ4" s="2250"/>
      <c r="AR4" s="2250"/>
      <c r="AS4" s="2257">
        <v>0</v>
      </c>
    </row>
    <row customHeight="1" ht="21" hidden="1">
      <c r="A5" s="1893"/>
      <c r="B5" s="1893"/>
      <c r="C5" s="1893"/>
      <c r="D5" s="1893"/>
      <c r="E5" s="2916"/>
      <c r="F5" s="2916"/>
      <c r="G5" s="2916"/>
      <c r="H5" s="2915">
        <v>1</v>
      </c>
      <c r="I5" s="1893"/>
      <c r="J5" s="1893"/>
      <c r="K5" s="1893"/>
      <c r="L5" s="1936"/>
      <c r="M5" s="2236"/>
      <c r="N5" s="2236"/>
      <c r="O5" s="2236"/>
      <c r="P5" s="980"/>
      <c r="Q5" s="978"/>
      <c r="R5" s="979"/>
      <c r="S5" s="2584">
        <f>INDEX(PT_DIFFERENTIATION_NUM_IST_TE,MATCH(D5,PT_DIFFERENTIATION_IST_TE_ID,0))</f>
      </c>
      <c r="T5" s="936" t="s">
        <v>419</v>
      </c>
      <c r="U5" s="926"/>
      <c r="V5" s="2868"/>
      <c r="W5" s="2869"/>
      <c r="X5" s="2869"/>
      <c r="Y5" s="2869"/>
      <c r="Z5" s="2869"/>
      <c r="AA5" s="2869"/>
      <c r="AB5" s="2869"/>
      <c r="AC5" s="2870"/>
      <c r="AD5" s="2868">
        <f>INDEX(PT_DIFFERENTIATION_IST_TE,MATCH(D5,PT_DIFFERENTIATION_IST_TE_ID,0))</f>
      </c>
      <c r="AE5" s="2869"/>
      <c r="AF5" s="2869"/>
      <c r="AG5" s="2869"/>
      <c r="AH5" s="2869"/>
      <c r="AI5" s="2869"/>
      <c r="AJ5" s="2869"/>
      <c r="AK5" s="2869"/>
      <c r="AL5" s="2870"/>
      <c r="AM5" s="1884" t="s">
        <v>420</v>
      </c>
      <c r="AO5" s="2250"/>
      <c r="AP5" s="2250" t="str">
        <f>IF(T5="","",T5)</f>
        <v>Источник тепловой энергии  </v>
      </c>
      <c r="AQ5" s="2250"/>
      <c r="AR5" s="2250"/>
      <c r="AS5" s="2257">
        <v>0</v>
      </c>
    </row>
    <row customHeight="1" ht="47.25" hidden="1">
      <c r="A6" s="1893"/>
      <c r="B6" s="1893"/>
      <c r="C6" s="1893"/>
      <c r="D6" s="1893"/>
      <c r="E6" s="2916"/>
      <c r="F6" s="2916"/>
      <c r="G6" s="2916"/>
      <c r="H6" s="2916"/>
      <c r="I6" s="2753">
        <f>S5&amp;".1"</f>
      </c>
      <c r="J6" s="1893"/>
      <c r="K6" s="1893"/>
      <c r="L6" s="1936" t="s">
        <v>421</v>
      </c>
      <c r="M6" s="2261"/>
      <c r="P6" s="2883">
        <v>1</v>
      </c>
      <c r="Q6" s="2580"/>
      <c r="R6" s="982"/>
      <c r="S6" s="2584">
        <f>$I6</f>
      </c>
      <c r="T6" s="911" t="s">
        <v>422</v>
      </c>
      <c r="U6" s="926"/>
      <c r="V6" s="2871"/>
      <c r="W6" s="2872"/>
      <c r="X6" s="2872"/>
      <c r="Y6" s="2872"/>
      <c r="Z6" s="2872"/>
      <c r="AA6" s="2872"/>
      <c r="AB6" s="2872"/>
      <c r="AC6" s="2873"/>
      <c r="AD6" s="2871"/>
      <c r="AE6" s="2872"/>
      <c r="AF6" s="2872"/>
      <c r="AG6" s="2872"/>
      <c r="AH6" s="2872"/>
      <c r="AI6" s="2872"/>
      <c r="AJ6" s="2872"/>
      <c r="AK6" s="2872"/>
      <c r="AL6" s="2873"/>
      <c r="AM6" s="1884" t="s">
        <v>423</v>
      </c>
      <c r="AO6" s="2250"/>
      <c r="AP6" s="2250" t="str">
        <f>IF(T6="","",T6)</f>
        <v>Схема подключения теплопотребляющей установки к коллектору источника тепловой энергии</v>
      </c>
      <c r="AQ6" s="2250"/>
      <c r="AR6" s="2250"/>
      <c r="AS6" s="2257">
        <v>0</v>
      </c>
    </row>
    <row customHeight="1" ht="21" hidden="1">
      <c r="A7" s="1893"/>
      <c r="B7" s="1893"/>
      <c r="C7" s="1893"/>
      <c r="D7" s="1893"/>
      <c r="E7" s="2916"/>
      <c r="F7" s="2916"/>
      <c r="G7" s="2916"/>
      <c r="H7" s="2916"/>
      <c r="I7" s="2727"/>
      <c r="J7" s="2753">
        <f>I6&amp;".1"</f>
      </c>
      <c r="K7" s="1893"/>
      <c r="L7" s="1936" t="s">
        <v>424</v>
      </c>
      <c r="M7" s="2261"/>
      <c r="N7" s="2257"/>
      <c r="P7" s="2883"/>
      <c r="Q7" s="2883">
        <v>1</v>
      </c>
      <c r="R7" s="983"/>
      <c r="S7" s="2584">
        <f>$J7</f>
      </c>
      <c r="T7" s="912" t="s">
        <v>425</v>
      </c>
      <c r="U7" s="926"/>
      <c r="V7" s="2871"/>
      <c r="W7" s="2872"/>
      <c r="X7" s="2872"/>
      <c r="Y7" s="2872"/>
      <c r="Z7" s="2872"/>
      <c r="AA7" s="2872"/>
      <c r="AB7" s="2872"/>
      <c r="AC7" s="2873"/>
      <c r="AD7" s="2871"/>
      <c r="AE7" s="2872"/>
      <c r="AF7" s="2872"/>
      <c r="AG7" s="2872"/>
      <c r="AH7" s="2872"/>
      <c r="AI7" s="2872"/>
      <c r="AJ7" s="2872"/>
      <c r="AK7" s="2872"/>
      <c r="AL7" s="2873"/>
      <c r="AM7" s="1884" t="s">
        <v>426</v>
      </c>
      <c r="AO7" s="2250"/>
      <c r="AP7" s="2250" t="str">
        <f>IF(T7="","",T7)</f>
        <v>Группа потребителей</v>
      </c>
      <c r="AQ7" s="2250"/>
      <c r="AR7" s="2250"/>
      <c r="AS7" s="2257">
        <v>0</v>
      </c>
    </row>
    <row customHeight="1" ht="21" hidden="1">
      <c r="A8" s="1893"/>
      <c r="B8" s="1893"/>
      <c r="C8" s="1893"/>
      <c r="D8" s="1893"/>
      <c r="E8" s="2916"/>
      <c r="F8" s="2916"/>
      <c r="G8" s="2916"/>
      <c r="H8" s="2916"/>
      <c r="I8" s="2727"/>
      <c r="J8" s="2727"/>
      <c r="K8" s="2753">
        <f>J7&amp;".1"</f>
      </c>
      <c r="L8" s="1936" t="s">
        <v>427</v>
      </c>
      <c r="M8" s="2261"/>
      <c r="N8" s="2257"/>
      <c r="O8" s="2257"/>
      <c r="P8" s="2883"/>
      <c r="Q8" s="2883"/>
      <c r="R8" s="983">
        <v>1</v>
      </c>
      <c r="S8" s="2584">
        <f>$K8</f>
      </c>
      <c r="T8" s="1973"/>
      <c r="U8" s="926"/>
      <c r="V8" s="1377"/>
      <c r="W8" s="951"/>
      <c r="X8" s="1377"/>
      <c r="Y8" s="1883"/>
      <c r="Z8" s="2891"/>
      <c r="AA8" s="2733" t="s">
        <v>66</v>
      </c>
      <c r="AB8" s="2891"/>
      <c r="AC8" s="2733" t="s">
        <v>66</v>
      </c>
      <c r="AD8" s="1377"/>
      <c r="AE8" s="951"/>
      <c r="AF8" s="1377"/>
      <c r="AG8" s="1883"/>
      <c r="AH8" s="2891"/>
      <c r="AI8" s="2733" t="s">
        <v>66</v>
      </c>
      <c r="AJ8" s="2891"/>
      <c r="AK8" s="2733" t="s">
        <v>66</v>
      </c>
      <c r="AL8" s="951"/>
      <c r="AM8" s="2879" t="s">
        <v>428</v>
      </c>
      <c r="AN8" s="2262">
        <f>STRCHECKDATE(V9:AL9)</f>
      </c>
      <c r="AO8" s="2250"/>
      <c r="AP8" s="2250" t="str">
        <f>IF(T8="","",T8)</f>
        <v/>
      </c>
      <c r="AQ8" s="2250"/>
      <c r="AR8" s="2250"/>
      <c r="AS8" s="2257">
        <v>0</v>
      </c>
    </row>
    <row customHeight="1" ht="0.75" hidden="1">
      <c r="A9" s="1893"/>
      <c r="B9" s="1893"/>
      <c r="C9" s="1893"/>
      <c r="D9" s="1893"/>
      <c r="E9" s="2916"/>
      <c r="F9" s="2916"/>
      <c r="G9" s="2916"/>
      <c r="H9" s="2916"/>
      <c r="I9" s="2727"/>
      <c r="J9" s="2727"/>
      <c r="K9" s="2753"/>
      <c r="L9" s="1936"/>
      <c r="M9" s="2261"/>
      <c r="N9" s="2257"/>
      <c r="O9" s="2257"/>
      <c r="P9" s="2883"/>
      <c r="Q9" s="2883"/>
      <c r="R9" s="983"/>
      <c r="S9" s="2593"/>
      <c r="T9" s="926"/>
      <c r="U9" s="926"/>
      <c r="V9" s="951"/>
      <c r="W9" s="951"/>
      <c r="X9" s="951"/>
      <c r="Y9" s="954" t="str">
        <f>Z8&amp;"-"&amp;AB8</f>
        <v>-</v>
      </c>
      <c r="Z9" s="2892"/>
      <c r="AA9" s="2733"/>
      <c r="AB9" s="2892"/>
      <c r="AC9" s="2733"/>
      <c r="AD9" s="951"/>
      <c r="AE9" s="951"/>
      <c r="AF9" s="951"/>
      <c r="AG9" s="954" t="str">
        <f>AH8&amp;"-"&amp;AJ8</f>
        <v>-</v>
      </c>
      <c r="AH9" s="2892"/>
      <c r="AI9" s="2733"/>
      <c r="AJ9" s="2892"/>
      <c r="AK9" s="2733"/>
      <c r="AL9" s="951"/>
      <c r="AM9" s="2880"/>
      <c r="AO9" s="2250"/>
      <c r="AP9" s="2250" t="str">
        <f>IF(T9="","",T9)</f>
        <v/>
      </c>
      <c r="AQ9" s="2250"/>
      <c r="AR9" s="2250"/>
      <c r="AS9" s="2257">
        <v>0</v>
      </c>
    </row>
    <row customHeight="1" ht="15" hidden="1">
      <c r="A10" s="1893"/>
      <c r="B10" s="1893"/>
      <c r="C10" s="1893"/>
      <c r="D10" s="1893"/>
      <c r="E10" s="2916"/>
      <c r="F10" s="2916"/>
      <c r="G10" s="2916"/>
      <c r="H10" s="2916"/>
      <c r="I10" s="2727"/>
      <c r="J10" s="2753"/>
      <c r="K10" s="1893"/>
      <c r="L10" s="1936"/>
      <c r="M10" s="2261"/>
      <c r="N10" s="2257"/>
      <c r="P10" s="2883"/>
      <c r="Q10" s="2883"/>
      <c r="R10" s="982"/>
      <c r="S10" s="1904"/>
      <c r="T10" s="914" t="s">
        <v>429</v>
      </c>
      <c r="U10" s="1226"/>
      <c r="V10" s="1226"/>
      <c r="W10" s="1226"/>
      <c r="X10" s="1226"/>
      <c r="Y10" s="1226"/>
      <c r="Z10" s="1226"/>
      <c r="AA10" s="1226"/>
      <c r="AB10" s="1226"/>
      <c r="AC10" s="1226"/>
      <c r="AD10" s="1226"/>
      <c r="AE10" s="1226"/>
      <c r="AF10" s="1226"/>
      <c r="AG10" s="1226"/>
      <c r="AH10" s="1226"/>
      <c r="AI10" s="1226"/>
      <c r="AJ10" s="1226"/>
      <c r="AK10" s="1226"/>
      <c r="AL10" s="950"/>
      <c r="AM10" s="2881"/>
      <c r="AO10" s="2250"/>
      <c r="AP10" s="2250" t="str">
        <f>IF(T10="","",T10)</f>
        <v>Добавить вид теплоносителя (параметры теплоносителя)</v>
      </c>
      <c r="AQ10" s="2250"/>
      <c r="AR10" s="2250"/>
      <c r="AS10" s="2257">
        <v>0</v>
      </c>
    </row>
    <row customHeight="1" ht="15" hidden="1">
      <c r="A11" s="1893"/>
      <c r="B11" s="1893"/>
      <c r="C11" s="1893"/>
      <c r="D11" s="1893"/>
      <c r="E11" s="2916"/>
      <c r="F11" s="2916"/>
      <c r="G11" s="2916"/>
      <c r="H11" s="2916"/>
      <c r="I11" s="2753"/>
      <c r="J11" s="1893"/>
      <c r="K11" s="1893"/>
      <c r="L11" s="1936"/>
      <c r="M11" s="2261"/>
      <c r="P11" s="2883"/>
      <c r="Q11" s="2580"/>
      <c r="R11" s="982"/>
      <c r="S11" s="1904"/>
      <c r="T11" s="913" t="s">
        <v>430</v>
      </c>
      <c r="U11" s="1226"/>
      <c r="V11" s="1226"/>
      <c r="W11" s="1226"/>
      <c r="X11" s="1226"/>
      <c r="Y11" s="1226"/>
      <c r="Z11" s="1226"/>
      <c r="AA11" s="1226"/>
      <c r="AB11" s="1226"/>
      <c r="AC11" s="992"/>
      <c r="AD11" s="1226"/>
      <c r="AE11" s="1226"/>
      <c r="AF11" s="1226"/>
      <c r="AG11" s="1226"/>
      <c r="AH11" s="1226"/>
      <c r="AI11" s="1226"/>
      <c r="AJ11" s="1226"/>
      <c r="AK11" s="992"/>
      <c r="AL11" s="1226"/>
      <c r="AM11" s="929"/>
      <c r="AO11" s="2250"/>
      <c r="AP11" s="2250" t="str">
        <f>IF(T11="","",T11)</f>
        <v>Добавить группу потребителей</v>
      </c>
      <c r="AQ11" s="2250"/>
      <c r="AR11" s="2250"/>
      <c r="AS11" s="2257">
        <v>0</v>
      </c>
    </row>
    <row customHeight="1" ht="14.25" hidden="1">
      <c r="A12" s="1893"/>
      <c r="B12" s="1893"/>
      <c r="C12" s="1893"/>
      <c r="D12" s="1893"/>
      <c r="E12" s="2916"/>
      <c r="F12" s="2916"/>
      <c r="G12" s="2916"/>
      <c r="H12" s="2915"/>
      <c r="I12" s="1893"/>
      <c r="J12" s="1893"/>
      <c r="K12" s="1893"/>
      <c r="L12" s="1936"/>
      <c r="M12" s="2236"/>
      <c r="N12" s="2236"/>
      <c r="O12" s="2261"/>
      <c r="P12" s="986"/>
      <c r="Q12" s="1001"/>
      <c r="R12" s="981"/>
      <c r="S12" s="1904"/>
      <c r="T12" s="991" t="s">
        <v>431</v>
      </c>
      <c r="U12" s="1226"/>
      <c r="V12" s="1226"/>
      <c r="W12" s="1226"/>
      <c r="X12" s="1226"/>
      <c r="Y12" s="1226"/>
      <c r="Z12" s="1226"/>
      <c r="AA12" s="1226"/>
      <c r="AB12" s="1226"/>
      <c r="AC12" s="992"/>
      <c r="AD12" s="1226"/>
      <c r="AE12" s="1226"/>
      <c r="AF12" s="1226"/>
      <c r="AG12" s="1226"/>
      <c r="AH12" s="1226"/>
      <c r="AI12" s="1226"/>
      <c r="AJ12" s="1226"/>
      <c r="AK12" s="992"/>
      <c r="AL12" s="1226"/>
      <c r="AM12" s="929"/>
      <c r="AO12" s="2250"/>
      <c r="AP12" s="2250" t="str">
        <f>IF(T12="","",T12)</f>
        <v>Добавить схему подключения</v>
      </c>
      <c r="AQ12" s="2250"/>
      <c r="AR12" s="2250"/>
      <c r="AS12" s="2257">
        <v>0</v>
      </c>
    </row>
    <row s="34658" customFormat="1" customHeight="1" ht="0.75" hidden="1">
      <c r="A13" s="2000"/>
      <c r="B13" s="2000"/>
      <c r="C13" s="2000"/>
      <c r="D13" s="2000"/>
      <c r="E13" s="2916"/>
      <c r="F13" s="2916"/>
      <c r="G13" s="2915"/>
      <c r="H13" s="2000"/>
      <c r="I13" s="2000"/>
      <c r="J13" s="2000"/>
      <c r="K13" s="2000"/>
      <c r="L13" s="2003"/>
      <c r="M13" s="2004"/>
      <c r="N13" s="2004"/>
      <c r="O13" s="977"/>
      <c r="P13" s="1942"/>
      <c r="Q13" s="1943"/>
      <c r="R13" s="1942"/>
      <c r="S13" s="1944"/>
      <c r="T13" s="1945" t="s">
        <v>432</v>
      </c>
      <c r="U13" s="1946"/>
      <c r="V13" s="1946"/>
      <c r="W13" s="1946"/>
      <c r="X13" s="1946"/>
      <c r="Y13" s="1946"/>
      <c r="Z13" s="1946"/>
      <c r="AA13" s="1946"/>
      <c r="AB13" s="1946"/>
      <c r="AC13" s="1946"/>
      <c r="AD13" s="1946"/>
      <c r="AE13" s="1946"/>
      <c r="AF13" s="1946"/>
      <c r="AG13" s="1946"/>
      <c r="AH13" s="1946"/>
      <c r="AI13" s="1946"/>
      <c r="AJ13" s="1946"/>
      <c r="AK13" s="1946"/>
      <c r="AL13" s="1946"/>
      <c r="AM13" s="1946"/>
      <c r="AO13" s="1877"/>
      <c r="AP13" s="1877" t="str">
        <f>IF(T13="","",T13)</f>
        <v>Добавить источник для дифференциации</v>
      </c>
      <c r="AQ13" s="1877"/>
      <c r="AR13" s="1877"/>
      <c r="AS13" s="2268">
        <v>0</v>
      </c>
    </row>
    <row s="34658" customFormat="1" customHeight="1" ht="0.75" hidden="1">
      <c r="A14" s="2000"/>
      <c r="B14" s="2000"/>
      <c r="C14" s="2000"/>
      <c r="D14" s="2000"/>
      <c r="E14" s="2916"/>
      <c r="F14" s="2915"/>
      <c r="G14" s="2000"/>
      <c r="H14" s="2000"/>
      <c r="I14" s="2000"/>
      <c r="J14" s="2000"/>
      <c r="K14" s="2000"/>
      <c r="L14" s="2003"/>
      <c r="M14" s="2005"/>
      <c r="N14" s="2005"/>
      <c r="O14" s="977"/>
      <c r="P14" s="1942"/>
      <c r="Q14" s="1943"/>
      <c r="R14" s="1942"/>
      <c r="S14" s="1948"/>
      <c r="T14" s="1949" t="s">
        <v>433</v>
      </c>
      <c r="U14" s="1950"/>
      <c r="V14" s="1950"/>
      <c r="W14" s="1950"/>
      <c r="X14" s="1950"/>
      <c r="Y14" s="1950"/>
      <c r="Z14" s="1950"/>
      <c r="AA14" s="1950"/>
      <c r="AB14" s="1950"/>
      <c r="AC14" s="1950"/>
      <c r="AD14" s="1950"/>
      <c r="AE14" s="1950"/>
      <c r="AF14" s="1950"/>
      <c r="AG14" s="1950"/>
      <c r="AH14" s="1950"/>
      <c r="AI14" s="1950"/>
      <c r="AJ14" s="1950"/>
      <c r="AK14" s="1950"/>
      <c r="AL14" s="1950"/>
      <c r="AM14" s="1950"/>
      <c r="AO14" s="1877"/>
      <c r="AP14" s="1877" t="str">
        <f>IF(T14="","",T14)</f>
        <v>Добавить централизованную систему для дифференциации</v>
      </c>
      <c r="AQ14" s="1877"/>
      <c r="AR14" s="1877"/>
      <c r="AS14" s="2268">
        <v>0</v>
      </c>
    </row>
    <row s="34658" customFormat="1" customHeight="1" ht="0.75" hidden="1">
      <c r="A15" s="2000"/>
      <c r="B15" s="2000"/>
      <c r="C15" s="2000"/>
      <c r="D15" s="2000"/>
      <c r="E15" s="2915"/>
      <c r="F15" s="2000"/>
      <c r="G15" s="2000"/>
      <c r="H15" s="2000"/>
      <c r="I15" s="2000"/>
      <c r="J15" s="2000"/>
      <c r="K15" s="2000"/>
      <c r="L15" s="2003"/>
      <c r="M15" s="2005"/>
      <c r="N15" s="2005"/>
      <c r="O15" s="977"/>
      <c r="P15" s="1942"/>
      <c r="Q15" s="1943"/>
      <c r="R15" s="1942"/>
      <c r="S15" s="1948"/>
      <c r="T15" s="1951" t="s">
        <v>434</v>
      </c>
      <c r="U15" s="1950"/>
      <c r="V15" s="1950"/>
      <c r="W15" s="1950"/>
      <c r="X15" s="1950"/>
      <c r="Y15" s="1950"/>
      <c r="Z15" s="1950"/>
      <c r="AA15" s="1950"/>
      <c r="AB15" s="1950"/>
      <c r="AC15" s="1950"/>
      <c r="AD15" s="1950"/>
      <c r="AE15" s="1950"/>
      <c r="AF15" s="1950"/>
      <c r="AG15" s="1950"/>
      <c r="AH15" s="1950"/>
      <c r="AI15" s="1950"/>
      <c r="AJ15" s="1950"/>
      <c r="AK15" s="1950"/>
      <c r="AL15" s="1950"/>
      <c r="AM15" s="1950"/>
      <c r="AO15" s="1877"/>
      <c r="AP15" s="1877" t="str">
        <f>IF(T15="","",T15)</f>
        <v>Добавить территорию для дифференциации</v>
      </c>
      <c r="AQ15" s="1877"/>
      <c r="AR15" s="1877"/>
      <c r="AS15" s="2268">
        <v>0</v>
      </c>
    </row>
    <row customHeight="1" ht="14.25" hidden="1">
      <c r="AS16" s="2257">
        <v>0</v>
      </c>
    </row>
    <row customHeight="1" ht="14.25" hidden="1">
      <c r="AD17" s="1986"/>
      <c r="AE17" s="1986"/>
      <c r="AF17" s="1986"/>
      <c r="AG17" s="1987"/>
      <c r="AH17" s="2893"/>
      <c r="AI17" s="2894" t="s">
        <v>66</v>
      </c>
      <c r="AJ17" s="2893"/>
      <c r="AK17" s="2894" t="s">
        <v>66</v>
      </c>
      <c r="AS17" s="2257">
        <v>0</v>
      </c>
    </row>
    <row customHeight="1" ht="14.25" hidden="1">
      <c r="AD18" s="1986"/>
      <c r="AE18" s="1986"/>
      <c r="AF18" s="1986"/>
      <c r="AG18" s="954" t="str">
        <f>AH17&amp;"-"&amp;AJ17</f>
        <v>-</v>
      </c>
      <c r="AH18" s="2894"/>
      <c r="AI18" s="2894"/>
      <c r="AJ18" s="2894"/>
      <c r="AK18" s="2894"/>
      <c r="AS18" s="2257">
        <v>0</v>
      </c>
    </row>
    <row customHeight="1" ht="14.25" hidden="1">
      <c r="AS19" s="2257">
        <v>0</v>
      </c>
    </row>
    <row s="34657" customFormat="1" customHeight="1" ht="14.25" hidden="1">
      <c r="A20" s="2257"/>
      <c r="B20" s="2257"/>
      <c r="C20" s="2257"/>
      <c r="D20" s="2257"/>
      <c r="E20" s="2257"/>
      <c r="F20" s="2257"/>
      <c r="G20" s="2257"/>
      <c r="H20" s="2257"/>
      <c r="I20" s="2257"/>
      <c r="J20" s="2257"/>
      <c r="K20" s="2257"/>
      <c r="L20" s="2565"/>
      <c r="M20" s="2591"/>
      <c r="N20" s="2591"/>
      <c r="O20" s="1971" t="s">
        <v>435</v>
      </c>
      <c r="P20" s="1988"/>
      <c r="Q20" s="1997"/>
      <c r="R20" s="1997"/>
      <c r="S20" s="1355"/>
      <c r="Z20" s="1993"/>
      <c r="AB20" s="1993"/>
      <c r="AH20" s="1993"/>
      <c r="AJ20" s="1993"/>
      <c r="AN20" s="2262"/>
      <c r="AO20" s="2262"/>
      <c r="AP20" s="2262"/>
      <c r="AQ20" s="2262"/>
      <c r="AR20" s="2262"/>
      <c r="AS20" s="1992">
        <v>0</v>
      </c>
    </row>
    <row s="34657" customFormat="1" customHeight="1" ht="14.25" hidden="1">
      <c r="A21" s="2257"/>
      <c r="B21" s="2257"/>
      <c r="C21" s="2257"/>
      <c r="D21" s="2257"/>
      <c r="E21" s="2257"/>
      <c r="F21" s="2257"/>
      <c r="G21" s="2257"/>
      <c r="H21" s="2257"/>
      <c r="I21" s="2257"/>
      <c r="J21" s="2257"/>
      <c r="K21" s="2257"/>
      <c r="L21" s="2565"/>
      <c r="M21" s="2591"/>
      <c r="N21" s="2591"/>
      <c r="O21" s="2591"/>
      <c r="P21" s="1988"/>
      <c r="Q21" s="1997"/>
      <c r="R21" s="1997"/>
      <c r="S21" s="1355"/>
      <c r="AN21" s="2262"/>
      <c r="AO21" s="2262"/>
      <c r="AP21" s="2262"/>
      <c r="AQ21" s="2262"/>
      <c r="AR21" s="2262"/>
      <c r="AS21" s="1992">
        <v>0</v>
      </c>
    </row>
    <row s="34657" customFormat="1" customHeight="1" ht="14.25" hidden="1">
      <c r="A22" s="2257"/>
      <c r="B22" s="2257"/>
      <c r="C22" s="2257"/>
      <c r="D22" s="2257"/>
      <c r="E22" s="2257"/>
      <c r="F22" s="2257"/>
      <c r="G22" s="2257"/>
      <c r="H22" s="2257"/>
      <c r="I22" s="2257"/>
      <c r="J22" s="2257"/>
      <c r="K22" s="2257"/>
      <c r="L22" s="2565"/>
      <c r="M22" s="2591"/>
      <c r="N22" s="2591"/>
      <c r="O22" s="1936" t="s">
        <v>436</v>
      </c>
      <c r="P22" s="1988"/>
      <c r="Q22" s="1997"/>
      <c r="R22" s="1997"/>
      <c r="S22" s="1355"/>
      <c r="T22" s="1992" t="s">
        <v>437</v>
      </c>
      <c r="AA22" s="1221" t="s">
        <v>438</v>
      </c>
      <c r="AC22" s="1221" t="s">
        <v>439</v>
      </c>
      <c r="AD22" s="1992" t="s">
        <v>437</v>
      </c>
      <c r="AI22" s="1221" t="s">
        <v>440</v>
      </c>
      <c r="AK22" s="1221" t="s">
        <v>439</v>
      </c>
      <c r="AN22" s="2262"/>
      <c r="AO22" s="2262"/>
      <c r="AP22" s="2262"/>
      <c r="AQ22" s="2262"/>
      <c r="AR22" s="2262"/>
      <c r="AS22" s="1992">
        <v>0</v>
      </c>
    </row>
    <row customHeight="1" ht="14.25" hidden="1">
      <c r="O23" s="1936"/>
      <c r="AS23" s="2257">
        <v>0</v>
      </c>
    </row>
    <row customHeight="1" ht="14.25" hidden="1">
      <c r="O24" s="1936"/>
      <c r="AS24" s="2257">
        <v>0</v>
      </c>
    </row>
    <row customHeight="1" ht="14.699999999999998">
      <c r="Q25" s="1002"/>
      <c r="R25" s="1002"/>
      <c r="S25" s="1901"/>
      <c r="T25" s="1083"/>
      <c r="U25" s="1083"/>
      <c r="V25" s="2261"/>
      <c r="W25" s="2261"/>
      <c r="X25" s="2261"/>
      <c r="Y25" s="2261"/>
      <c r="Z25" s="2261"/>
      <c r="AA25" s="2261"/>
      <c r="AB25" s="2261"/>
      <c r="AC25" s="2261"/>
      <c r="AD25" s="2261"/>
      <c r="AE25" s="2261"/>
      <c r="AF25" s="2261"/>
      <c r="AG25" s="2261"/>
      <c r="AH25" s="2261"/>
      <c r="AI25" s="2261"/>
      <c r="AJ25" s="2261"/>
      <c r="AK25" s="2261"/>
      <c r="AS25" s="2257">
        <v>14</v>
      </c>
    </row>
    <row customHeight="1" ht="14.699999999999998">
      <c r="Q26" s="1002"/>
      <c r="R26" s="1002"/>
      <c r="S26" s="28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4"/>
      <c r="U26" s="2874"/>
      <c r="V26" s="2874"/>
      <c r="W26" s="2874"/>
      <c r="X26" s="2874"/>
      <c r="Y26" s="2874"/>
      <c r="Z26" s="2874"/>
      <c r="AA26" s="2874"/>
      <c r="AB26" s="2874"/>
      <c r="AC26" s="2874"/>
      <c r="AD26" s="2874"/>
      <c r="AE26" s="2874"/>
      <c r="AF26" s="2874"/>
      <c r="AG26" s="2874"/>
      <c r="AH26" s="2874"/>
      <c r="AI26" s="2874"/>
      <c r="AJ26" s="2874"/>
      <c r="AK26" s="1869"/>
      <c r="AS26" s="2257">
        <v>14</v>
      </c>
    </row>
    <row customHeight="1" ht="14.699999999999998">
      <c r="Q27" s="1002"/>
      <c r="R27" s="1002"/>
      <c r="S27" s="2875" t="str">
        <f>IF(org=0,"Не определено",org)</f>
        <v>АО "ДГК"</v>
      </c>
      <c r="T27" s="2875"/>
      <c r="U27" s="2875"/>
      <c r="V27" s="2875"/>
      <c r="W27" s="2875"/>
      <c r="X27" s="2875"/>
      <c r="Y27" s="2875"/>
      <c r="Z27" s="2875"/>
      <c r="AA27" s="2875"/>
      <c r="AB27" s="2875"/>
      <c r="AC27" s="2875"/>
      <c r="AD27" s="2875"/>
      <c r="AE27" s="2875"/>
      <c r="AF27" s="2875"/>
      <c r="AG27" s="2875"/>
      <c r="AH27" s="2875"/>
      <c r="AI27" s="2875"/>
      <c r="AJ27" s="2875"/>
      <c r="AK27" s="1869"/>
      <c r="AS27" s="2257">
        <v>14</v>
      </c>
    </row>
    <row customHeight="1" ht="14.25" hidden="1">
      <c r="Q28" s="1002"/>
      <c r="R28" s="1002"/>
      <c r="S28" s="1901"/>
      <c r="T28" s="1083"/>
      <c r="U28" s="1083"/>
      <c r="V28" s="948"/>
      <c r="W28" s="948"/>
      <c r="X28" s="948"/>
      <c r="Y28" s="948"/>
      <c r="Z28" s="948"/>
      <c r="AA28" s="948"/>
      <c r="AB28" s="948"/>
      <c r="AC28" s="948"/>
      <c r="AD28" s="948"/>
      <c r="AE28" s="948"/>
      <c r="AF28" s="948"/>
      <c r="AG28" s="948"/>
      <c r="AH28" s="948"/>
      <c r="AI28" s="948"/>
      <c r="AJ28" s="948"/>
      <c r="AK28" s="948"/>
      <c r="AL28" s="2261"/>
      <c r="AS28" s="2257">
        <v>0</v>
      </c>
    </row>
    <row s="34794" customFormat="1" customHeight="1" ht="25.5" hidden="1">
      <c r="A29" s="1874"/>
      <c r="B29" s="1874"/>
      <c r="C29" s="1874"/>
      <c r="D29" s="1874"/>
      <c r="E29" s="1874"/>
      <c r="F29" s="1874"/>
      <c r="G29" s="1874"/>
      <c r="H29" s="1874"/>
      <c r="I29" s="1874"/>
      <c r="J29" s="1874"/>
      <c r="K29" s="1874"/>
      <c r="L29" s="2006"/>
      <c r="M29" s="1874"/>
      <c r="N29" s="1874"/>
      <c r="O29" s="1874"/>
      <c r="S29" s="2876" t="s">
        <v>42</v>
      </c>
      <c r="T29" s="2876"/>
      <c r="U29" s="1998"/>
      <c r="V29" s="2877" t="str">
        <f>IF(TITLE_NAME_OR_PR_CHANGE="",IF(TITLE_NAME_OR_PR="","",TITLE_NAME_OR_PR),TITLE_NAME_OR_PR_CHANGE)</f>
        <v/>
      </c>
      <c r="W29" s="2877"/>
      <c r="X29" s="2877"/>
      <c r="Y29" s="2877"/>
      <c r="Z29" s="2877"/>
      <c r="AA29" s="2877"/>
      <c r="AB29" s="2877"/>
      <c r="AC29" s="2261"/>
      <c r="AD29" s="2877" t="str">
        <f>IF(TITLE_NAME_OR_PR_CHANGE="",IF(TITLE_NAME_OR_PR="","",TITLE_NAME_OR_PR),TITLE_NAME_OR_PR_CHANGE)</f>
        <v/>
      </c>
      <c r="AE29" s="2877"/>
      <c r="AF29" s="2877"/>
      <c r="AG29" s="2877"/>
      <c r="AH29" s="2877"/>
      <c r="AI29" s="2877"/>
      <c r="AJ29" s="2877"/>
      <c r="AK29" s="2261"/>
      <c r="AL29" s="2261"/>
      <c r="AM29" s="906"/>
      <c r="AN29" s="994"/>
      <c r="AO29" s="994"/>
      <c r="AP29" s="994"/>
      <c r="AQ29" s="994"/>
      <c r="AR29" s="994"/>
      <c r="AS29" s="1044">
        <v>0</v>
      </c>
    </row>
    <row s="34794" customFormat="1" customHeight="1" ht="18.75" hidden="1">
      <c r="A30" s="1874"/>
      <c r="B30" s="1874"/>
      <c r="C30" s="1874"/>
      <c r="D30" s="1874"/>
      <c r="E30" s="1874"/>
      <c r="F30" s="1874"/>
      <c r="G30" s="1874"/>
      <c r="H30" s="1874"/>
      <c r="I30" s="1874"/>
      <c r="J30" s="1874"/>
      <c r="K30" s="1874"/>
      <c r="L30" s="2006"/>
      <c r="M30" s="1874"/>
      <c r="N30" s="1874"/>
      <c r="O30" s="1874"/>
      <c r="S30" s="2876" t="s">
        <v>441</v>
      </c>
      <c r="T30" s="2876"/>
      <c r="U30" s="1998"/>
      <c r="V30" s="2890" t="str">
        <f>IF(TITLE_DATE_PR_CHANGE="",IF(TITLE_DATE_PR="","",TITLE_DATE_PR),TITLE_DATE_PR_CHANGE)</f>
        <v/>
      </c>
      <c r="W30" s="2890"/>
      <c r="X30" s="2890"/>
      <c r="Y30" s="2890"/>
      <c r="Z30" s="2890"/>
      <c r="AA30" s="2890"/>
      <c r="AB30" s="2890"/>
      <c r="AC30" s="2261"/>
      <c r="AD30" s="2890" t="str">
        <f>IF(TITLE_DATE_PR_CHANGE="",IF(TITLE_DATE_PR="","",TITLE_DATE_PR),TITLE_DATE_PR_CHANGE)</f>
        <v/>
      </c>
      <c r="AE30" s="2890"/>
      <c r="AF30" s="2890"/>
      <c r="AG30" s="2890"/>
      <c r="AH30" s="2890"/>
      <c r="AI30" s="2890"/>
      <c r="AJ30" s="2890"/>
      <c r="AK30" s="2261"/>
      <c r="AL30" s="2261"/>
      <c r="AM30" s="906"/>
      <c r="AN30" s="994"/>
      <c r="AO30" s="994"/>
      <c r="AP30" s="994"/>
      <c r="AQ30" s="994"/>
      <c r="AR30" s="994"/>
      <c r="AS30" s="1044">
        <v>0</v>
      </c>
    </row>
    <row s="34794" customFormat="1" customHeight="1" ht="18.75" hidden="1">
      <c r="A31" s="1874"/>
      <c r="B31" s="1874"/>
      <c r="C31" s="1874"/>
      <c r="D31" s="1874"/>
      <c r="E31" s="1874"/>
      <c r="F31" s="1874"/>
      <c r="G31" s="1874"/>
      <c r="H31" s="1874"/>
      <c r="I31" s="1874"/>
      <c r="J31" s="1874"/>
      <c r="K31" s="1874"/>
      <c r="L31" s="2006"/>
      <c r="M31" s="1874"/>
      <c r="N31" s="1874"/>
      <c r="O31" s="1874"/>
      <c r="S31" s="2876" t="s">
        <v>442</v>
      </c>
      <c r="T31" s="2876"/>
      <c r="U31" s="1998"/>
      <c r="V31" s="2877" t="str">
        <f>IF(TITLE_NUMBER_PR_CHANGE="",IF(TITLE_NUMBER_PR="","",TITLE_NUMBER_PR),TITLE_NUMBER_PR_CHANGE)</f>
        <v/>
      </c>
      <c r="W31" s="2877"/>
      <c r="X31" s="2877"/>
      <c r="Y31" s="2877"/>
      <c r="Z31" s="2877"/>
      <c r="AA31" s="2877"/>
      <c r="AB31" s="2877"/>
      <c r="AC31" s="2261"/>
      <c r="AD31" s="2877" t="str">
        <f>IF(TITLE_NUMBER_PR_CHANGE="",IF(TITLE_NUMBER_PR="","",TITLE_NUMBER_PR),TITLE_NUMBER_PR_CHANGE)</f>
        <v/>
      </c>
      <c r="AE31" s="2877"/>
      <c r="AF31" s="2877"/>
      <c r="AG31" s="2877"/>
      <c r="AH31" s="2877"/>
      <c r="AI31" s="2877"/>
      <c r="AJ31" s="2877"/>
      <c r="AK31" s="2261"/>
      <c r="AL31" s="2261"/>
      <c r="AM31" s="906"/>
      <c r="AN31" s="994"/>
      <c r="AO31" s="994"/>
      <c r="AP31" s="994"/>
      <c r="AQ31" s="994"/>
      <c r="AR31" s="994"/>
      <c r="AS31" s="1044">
        <v>0</v>
      </c>
    </row>
    <row s="34794" customFormat="1" customHeight="1" ht="18.75" hidden="1">
      <c r="A32" s="1874"/>
      <c r="B32" s="1874"/>
      <c r="C32" s="1874"/>
      <c r="D32" s="1874"/>
      <c r="E32" s="1874"/>
      <c r="F32" s="1874"/>
      <c r="G32" s="1874"/>
      <c r="H32" s="1874"/>
      <c r="I32" s="1874"/>
      <c r="J32" s="1874"/>
      <c r="K32" s="1874"/>
      <c r="L32" s="2006"/>
      <c r="M32" s="1874"/>
      <c r="N32" s="1874"/>
      <c r="O32" s="1874"/>
      <c r="S32" s="2876" t="s">
        <v>43</v>
      </c>
      <c r="T32" s="2876"/>
      <c r="U32" s="1998"/>
      <c r="V32" s="2877" t="str">
        <f>IF(TITLE_IST_PUB_CHANGE="",IF(TITLE_IST_PUB="","",TITLE_IST_PUB),TITLE_IST_PUB_CHANGE)</f>
        <v/>
      </c>
      <c r="W32" s="2877"/>
      <c r="X32" s="2877"/>
      <c r="Y32" s="2877"/>
      <c r="Z32" s="2877"/>
      <c r="AA32" s="2877"/>
      <c r="AB32" s="2877"/>
      <c r="AC32" s="2261"/>
      <c r="AD32" s="2877" t="str">
        <f>IF(TITLE_IST_PUB_CHANGE="",IF(TITLE_IST_PUB="","",TITLE_IST_PUB),TITLE_IST_PUB_CHANGE)</f>
        <v/>
      </c>
      <c r="AE32" s="2877"/>
      <c r="AF32" s="2877"/>
      <c r="AG32" s="2877"/>
      <c r="AH32" s="2877"/>
      <c r="AI32" s="2877"/>
      <c r="AJ32" s="2877"/>
      <c r="AK32" s="2261"/>
      <c r="AL32" s="2261"/>
      <c r="AM32" s="906"/>
      <c r="AN32" s="994"/>
      <c r="AO32" s="994"/>
      <c r="AP32" s="994"/>
      <c r="AQ32" s="994"/>
      <c r="AR32" s="994"/>
      <c r="AS32" s="1044">
        <v>0</v>
      </c>
    </row>
    <row customHeight="1" ht="14.25" hidden="1">
      <c r="Q33" s="1002"/>
      <c r="R33" s="1002"/>
      <c r="S33" s="1901"/>
      <c r="T33" s="1083"/>
      <c r="U33" s="1083"/>
      <c r="V33" s="948"/>
      <c r="W33" s="948"/>
      <c r="X33" s="948"/>
      <c r="Y33" s="948"/>
      <c r="Z33" s="948"/>
      <c r="AA33" s="948"/>
      <c r="AB33" s="948"/>
      <c r="AC33" s="948"/>
      <c r="AD33" s="948"/>
      <c r="AE33" s="948"/>
      <c r="AF33" s="948"/>
      <c r="AG33" s="948"/>
      <c r="AH33" s="948"/>
      <c r="AI33" s="948"/>
      <c r="AJ33" s="948"/>
      <c r="AK33" s="948"/>
      <c r="AL33" s="2261"/>
      <c r="AS33" s="2257">
        <v>0</v>
      </c>
    </row>
    <row s="34794" customFormat="1" customHeight="1" ht="18.75" hidden="1">
      <c r="A34" s="1874"/>
      <c r="B34" s="1874"/>
      <c r="C34" s="1874"/>
      <c r="D34" s="1874"/>
      <c r="E34" s="1874"/>
      <c r="F34" s="1874"/>
      <c r="G34" s="1874"/>
      <c r="H34" s="1874"/>
      <c r="I34" s="1874"/>
      <c r="J34" s="1874"/>
      <c r="K34" s="1874"/>
      <c r="L34" s="2006"/>
      <c r="M34" s="1874"/>
      <c r="N34" s="1874"/>
      <c r="O34" s="1874"/>
      <c r="S34" s="2876" t="s">
        <v>443</v>
      </c>
      <c r="T34" s="2876"/>
      <c r="U34" s="1998"/>
      <c r="V34" s="2890" t="str">
        <f>IF(TITLE_DATE_PR_CHANGE="",IF(TITLE_DATE_PR="","",TITLE_DATE_PR),TITLE_DATE_PR_CHANGE)</f>
        <v/>
      </c>
      <c r="W34" s="2890"/>
      <c r="X34" s="2890"/>
      <c r="Y34" s="2890"/>
      <c r="Z34" s="2890"/>
      <c r="AA34" s="2890"/>
      <c r="AB34" s="2890"/>
      <c r="AC34" s="2261"/>
      <c r="AD34" s="2890" t="str">
        <f>IF(TITLE_DATE_PR_CHANGE="",IF(TITLE_DATE_PR="","",TITLE_DATE_PR),TITLE_DATE_PR_CHANGE)</f>
        <v/>
      </c>
      <c r="AE34" s="2890"/>
      <c r="AF34" s="2890"/>
      <c r="AG34" s="2890"/>
      <c r="AH34" s="2890"/>
      <c r="AI34" s="2890"/>
      <c r="AJ34" s="2890"/>
      <c r="AK34" s="2261"/>
      <c r="AL34" s="2261"/>
      <c r="AM34" s="906"/>
      <c r="AN34" s="994"/>
      <c r="AO34" s="994"/>
      <c r="AP34" s="994"/>
      <c r="AQ34" s="994"/>
      <c r="AR34" s="994"/>
      <c r="AS34" s="1044">
        <v>0</v>
      </c>
    </row>
    <row s="34794" customFormat="1" customHeight="1" ht="18.75" hidden="1">
      <c r="A35" s="1874"/>
      <c r="B35" s="1874"/>
      <c r="C35" s="1874"/>
      <c r="D35" s="1874"/>
      <c r="E35" s="1874"/>
      <c r="F35" s="1874"/>
      <c r="G35" s="1874"/>
      <c r="H35" s="1874"/>
      <c r="I35" s="1874"/>
      <c r="J35" s="1874"/>
      <c r="K35" s="1874"/>
      <c r="L35" s="2006"/>
      <c r="M35" s="1874"/>
      <c r="N35" s="1874"/>
      <c r="O35" s="1874"/>
      <c r="S35" s="2876" t="s">
        <v>444</v>
      </c>
      <c r="T35" s="2876"/>
      <c r="U35" s="1998"/>
      <c r="V35" s="2877" t="str">
        <f>IF(TITLE_NUMBER_PR_CHANGE="",IF(TITLE_NUMBER_PR="","",TITLE_NUMBER_PR),TITLE_NUMBER_PR_CHANGE)</f>
        <v/>
      </c>
      <c r="W35" s="2877"/>
      <c r="X35" s="2877"/>
      <c r="Y35" s="2877"/>
      <c r="Z35" s="2877"/>
      <c r="AA35" s="2877"/>
      <c r="AB35" s="2877"/>
      <c r="AC35" s="2261"/>
      <c r="AD35" s="2877" t="str">
        <f>IF(TITLE_NUMBER_PR_CHANGE="",IF(TITLE_NUMBER_PR="","",TITLE_NUMBER_PR),TITLE_NUMBER_PR_CHANGE)</f>
        <v/>
      </c>
      <c r="AE35" s="2877"/>
      <c r="AF35" s="2877"/>
      <c r="AG35" s="2877"/>
      <c r="AH35" s="2877"/>
      <c r="AI35" s="2877"/>
      <c r="AJ35" s="2877"/>
      <c r="AK35" s="2261"/>
      <c r="AL35" s="2261"/>
      <c r="AM35" s="906"/>
      <c r="AN35" s="994"/>
      <c r="AO35" s="994"/>
      <c r="AP35" s="994"/>
      <c r="AQ35" s="994"/>
      <c r="AR35" s="994"/>
      <c r="AS35" s="1044">
        <v>0</v>
      </c>
    </row>
    <row s="34794" customFormat="1" customHeight="1" ht="0">
      <c r="A36" s="1874"/>
      <c r="B36" s="1874"/>
      <c r="C36" s="1874"/>
      <c r="D36" s="1874"/>
      <c r="E36" s="1874"/>
      <c r="F36" s="1874"/>
      <c r="G36" s="1874"/>
      <c r="H36" s="1874"/>
      <c r="I36" s="1874"/>
      <c r="J36" s="1874"/>
      <c r="K36" s="1874"/>
      <c r="L36" s="2006"/>
      <c r="M36" s="1874"/>
      <c r="N36" s="1874"/>
      <c r="O36" s="1874"/>
      <c r="S36" s="2261"/>
      <c r="T36" s="2261"/>
      <c r="U36" s="2596"/>
      <c r="V36" s="2261"/>
      <c r="W36" s="2261"/>
      <c r="X36" s="2261"/>
      <c r="Y36" s="2261"/>
      <c r="Z36" s="2261"/>
      <c r="AA36" s="2261"/>
      <c r="AB36" s="2261"/>
      <c r="AC36" s="2268" t="s">
        <v>445</v>
      </c>
      <c r="AD36" s="2261"/>
      <c r="AE36" s="2261"/>
      <c r="AF36" s="2261"/>
      <c r="AG36" s="2261"/>
      <c r="AH36" s="2261"/>
      <c r="AI36" s="2261"/>
      <c r="AJ36" s="2261"/>
      <c r="AK36" s="2268" t="s">
        <v>445</v>
      </c>
      <c r="AN36" s="994"/>
      <c r="AO36" s="994"/>
      <c r="AP36" s="994"/>
      <c r="AQ36" s="994"/>
      <c r="AR36" s="994"/>
      <c r="AS36" s="1044">
        <v>0</v>
      </c>
    </row>
    <row customHeight="1" ht="14.699999999999998">
      <c r="Q37" s="1002"/>
      <c r="R37" s="1002"/>
      <c r="S37" s="1901"/>
      <c r="T37" s="1083"/>
      <c r="U37" s="1870"/>
      <c r="V37" s="2878"/>
      <c r="W37" s="2878"/>
      <c r="X37" s="2878"/>
      <c r="Y37" s="2878"/>
      <c r="Z37" s="2878"/>
      <c r="AA37" s="2878"/>
      <c r="AB37" s="2878"/>
      <c r="AC37" s="2878"/>
      <c r="AD37" s="2878"/>
      <c r="AE37" s="2878"/>
      <c r="AF37" s="2878"/>
      <c r="AG37" s="2878"/>
      <c r="AH37" s="2878"/>
      <c r="AI37" s="2878"/>
      <c r="AJ37" s="2878"/>
      <c r="AK37" s="2878"/>
      <c r="AS37" s="2257">
        <v>14</v>
      </c>
    </row>
    <row customHeight="1" ht="14.699999999999998">
      <c r="Q38" s="1002"/>
      <c r="R38" s="1002"/>
      <c r="S38" s="2753" t="s">
        <v>318</v>
      </c>
      <c r="T38" s="2753"/>
      <c r="U38" s="2753"/>
      <c r="V38" s="2753"/>
      <c r="W38" s="2753"/>
      <c r="X38" s="2753"/>
      <c r="Y38" s="2753"/>
      <c r="Z38" s="2753"/>
      <c r="AA38" s="2753"/>
      <c r="AB38" s="2753"/>
      <c r="AC38" s="2753"/>
      <c r="AD38" s="2753"/>
      <c r="AE38" s="2753"/>
      <c r="AF38" s="2753"/>
      <c r="AG38" s="2753"/>
      <c r="AH38" s="2753"/>
      <c r="AI38" s="2753"/>
      <c r="AJ38" s="2753"/>
      <c r="AK38" s="2753"/>
      <c r="AL38" s="2753"/>
      <c r="AM38" s="2753" t="s">
        <v>319</v>
      </c>
      <c r="AS38" s="2257">
        <v>14</v>
      </c>
    </row>
    <row customHeight="1" ht="14.699999999999998">
      <c r="Q39" s="1002"/>
      <c r="R39" s="1002"/>
      <c r="S39" s="2899" t="s">
        <v>88</v>
      </c>
      <c r="T39" s="2835" t="s">
        <v>446</v>
      </c>
      <c r="U39" s="963"/>
      <c r="V39" s="2900" t="s">
        <v>447</v>
      </c>
      <c r="W39" s="2901"/>
      <c r="X39" s="2901"/>
      <c r="Y39" s="2901"/>
      <c r="Z39" s="2901"/>
      <c r="AA39" s="2901"/>
      <c r="AB39" s="2902"/>
      <c r="AC39" s="2903" t="s">
        <v>448</v>
      </c>
      <c r="AD39" s="2900" t="s">
        <v>447</v>
      </c>
      <c r="AE39" s="2901"/>
      <c r="AF39" s="2901"/>
      <c r="AG39" s="2901"/>
      <c r="AH39" s="2901"/>
      <c r="AI39" s="2901"/>
      <c r="AJ39" s="2902"/>
      <c r="AK39" s="2903" t="s">
        <v>449</v>
      </c>
      <c r="AL39" s="2906" t="s">
        <v>450</v>
      </c>
      <c r="AM39" s="2753"/>
      <c r="AS39" s="2257">
        <v>14</v>
      </c>
    </row>
    <row customHeight="1" ht="35.699999999999996">
      <c r="Q40" s="1002"/>
      <c r="R40" s="1002"/>
      <c r="S40" s="2899"/>
      <c r="T40" s="2835"/>
      <c r="U40" s="1657"/>
      <c r="V40" s="2886" t="s">
        <v>451</v>
      </c>
      <c r="W40" s="2909" t="s">
        <v>452</v>
      </c>
      <c r="X40" s="2888" t="s">
        <v>453</v>
      </c>
      <c r="Y40" s="2889"/>
      <c r="Z40" s="2888" t="s">
        <v>467</v>
      </c>
      <c r="AA40" s="2895"/>
      <c r="AB40" s="2889"/>
      <c r="AC40" s="2904"/>
      <c r="AD40" s="2886" t="s">
        <v>451</v>
      </c>
      <c r="AE40" s="2909" t="s">
        <v>452</v>
      </c>
      <c r="AF40" s="2888" t="s">
        <v>453</v>
      </c>
      <c r="AG40" s="2889"/>
      <c r="AH40" s="2888" t="s">
        <v>454</v>
      </c>
      <c r="AI40" s="2895"/>
      <c r="AJ40" s="2889"/>
      <c r="AK40" s="2904"/>
      <c r="AL40" s="2907"/>
      <c r="AM40" s="2753"/>
      <c r="AS40" s="2257">
        <v>34</v>
      </c>
    </row>
    <row customHeight="1" ht="35.699999999999996">
      <c r="A41" s="1892"/>
      <c r="B41" s="1892" t="s">
        <v>155</v>
      </c>
      <c r="C41" s="1892" t="s">
        <v>156</v>
      </c>
      <c r="D41" s="1892" t="s">
        <v>157</v>
      </c>
      <c r="E41" s="1936" t="s">
        <v>455</v>
      </c>
      <c r="F41" s="1936" t="s">
        <v>456</v>
      </c>
      <c r="G41" s="1936" t="s">
        <v>457</v>
      </c>
      <c r="H41" s="1936" t="s">
        <v>458</v>
      </c>
      <c r="I41" s="1936" t="s">
        <v>459</v>
      </c>
      <c r="J41" s="1936" t="s">
        <v>460</v>
      </c>
      <c r="K41" s="1936" t="s">
        <v>461</v>
      </c>
      <c r="L41" s="1936" t="s">
        <v>436</v>
      </c>
      <c r="Q41" s="1002"/>
      <c r="R41" s="1002"/>
      <c r="S41" s="2899"/>
      <c r="T41" s="2835"/>
      <c r="U41" s="928"/>
      <c r="V41" s="2887"/>
      <c r="W41" s="2910"/>
      <c r="X41" s="2564" t="s">
        <v>462</v>
      </c>
      <c r="Y41" s="2564" t="s">
        <v>463</v>
      </c>
      <c r="Z41" s="2564" t="s">
        <v>464</v>
      </c>
      <c r="AA41" s="2896" t="s">
        <v>465</v>
      </c>
      <c r="AB41" s="2897"/>
      <c r="AC41" s="2905"/>
      <c r="AD41" s="2887"/>
      <c r="AE41" s="2910"/>
      <c r="AF41" s="2564" t="s">
        <v>462</v>
      </c>
      <c r="AG41" s="2564" t="s">
        <v>463</v>
      </c>
      <c r="AH41" s="2564" t="s">
        <v>464</v>
      </c>
      <c r="AI41" s="2896" t="s">
        <v>465</v>
      </c>
      <c r="AJ41" s="2897"/>
      <c r="AK41" s="2905"/>
      <c r="AL41" s="2908"/>
      <c r="AM41" s="2753"/>
      <c r="AS41" s="2257">
        <v>34</v>
      </c>
    </row>
    <row s="35197" customFormat="1" customHeight="1" ht="11.25" hidden="1">
      <c r="A42" s="1892"/>
      <c r="B42" s="1892"/>
      <c r="C42" s="1892"/>
      <c r="D42" s="1892"/>
      <c r="E42" s="1892"/>
      <c r="F42" s="1892"/>
      <c r="G42" s="1892"/>
      <c r="H42" s="1892"/>
      <c r="I42" s="1892"/>
      <c r="J42" s="1892"/>
      <c r="K42" s="1892"/>
      <c r="L42" s="1936"/>
      <c r="M42" s="2591"/>
      <c r="N42" s="2591"/>
      <c r="O42" s="2591"/>
      <c r="P42" s="1872"/>
      <c r="Q42" s="1873"/>
      <c r="R42" s="1880">
        <v>1</v>
      </c>
      <c r="S42" s="1903" t="s">
        <v>118</v>
      </c>
      <c r="T42" s="1881" t="s">
        <v>102</v>
      </c>
      <c r="U42" s="1871" t="str">
        <f>OFFSET(U42,0,-1)</f>
        <v>2</v>
      </c>
      <c r="V42" s="2582">
        <f>OFFSET(V42,0,-1)+1</f>
        <v>3</v>
      </c>
      <c r="W42" s="2582"/>
      <c r="X42" s="2582">
        <f>OFFSET(X42,0,-1)+1</f>
        <v>1</v>
      </c>
      <c r="Y42" s="2582">
        <f>OFFSET(Y42,0,-1)+1</f>
        <v>2</v>
      </c>
      <c r="Z42" s="2582">
        <f>OFFSET(Z42,0,-1)+1</f>
        <v>3</v>
      </c>
      <c r="AA42" s="2898">
        <f>OFFSET(AA42,0,-1)+1</f>
        <v>4</v>
      </c>
      <c r="AB42" s="2898"/>
      <c r="AC42" s="2582">
        <f>OFFSET(AC42,0,-2)+1</f>
        <v>5</v>
      </c>
      <c r="AD42" s="2582">
        <f>OFFSET(AD42,0,-1)+1</f>
        <v>6</v>
      </c>
      <c r="AE42" s="2582"/>
      <c r="AF42" s="2582">
        <f>OFFSET(AF42,0,-1)+1</f>
        <v>1</v>
      </c>
      <c r="AG42" s="2582">
        <f>OFFSET(AG42,0,-1)+1</f>
        <v>2</v>
      </c>
      <c r="AH42" s="2582">
        <f>OFFSET(AH42,0,-1)+1</f>
        <v>3</v>
      </c>
      <c r="AI42" s="2898">
        <f>OFFSET(AI42,0,-1)+1</f>
        <v>4</v>
      </c>
      <c r="AJ42" s="2898"/>
      <c r="AK42" s="2582">
        <f>OFFSET(AK42,0,-2)+1</f>
        <v>5</v>
      </c>
      <c r="AL42" s="1871">
        <f>OFFSET(AL42,0,-1)</f>
        <v>5</v>
      </c>
      <c r="AM42" s="2582">
        <f>OFFSET(AM42,0,-1)+1</f>
        <v>6</v>
      </c>
      <c r="AN42" s="2262"/>
      <c r="AO42" s="2262"/>
      <c r="AP42" s="2262"/>
      <c r="AQ42" s="2262"/>
      <c r="AR42" s="2262"/>
      <c r="AS42" s="2267">
        <v>0</v>
      </c>
    </row>
    <row customHeight="1" ht="22.049999999999997">
      <c r="A43" s="1893" t="s">
        <v>230</v>
      </c>
      <c r="B43" s="1893"/>
      <c r="C43" s="1893"/>
      <c r="D43" s="1893"/>
      <c r="E43" s="2915">
        <v>1</v>
      </c>
      <c r="F43" s="1893"/>
      <c r="G43" s="1893"/>
      <c r="H43" s="1893"/>
      <c r="I43" s="1893"/>
      <c r="J43" s="1893"/>
      <c r="K43" s="1893"/>
      <c r="L43" s="1936"/>
      <c r="M43" s="2236"/>
      <c r="N43" s="2236"/>
      <c r="O43" s="2236"/>
      <c r="P43" s="2216"/>
      <c r="Q43" s="986"/>
      <c r="R43" s="981"/>
      <c r="S43" s="2584">
        <f>INDEX(PT_DIFFERENTIATION_NUM_NTAR,MATCH(A43,PT_DIFFERENTIATION_NTAR_ID,0))</f>
        <v>0</v>
      </c>
      <c r="T43" s="2151" t="s">
        <v>143</v>
      </c>
      <c r="U43" s="926"/>
      <c r="V43" s="2868"/>
      <c r="W43" s="2869"/>
      <c r="X43" s="2869"/>
      <c r="Y43" s="2869"/>
      <c r="Z43" s="2869"/>
      <c r="AA43" s="2869"/>
      <c r="AB43" s="2869"/>
      <c r="AC43" s="2870"/>
      <c r="AD43" s="2868" t="str">
        <f>INDEX(PT_DIFFERENTIATION_NTAR,MATCH(A43,PT_DIFFERENTIATION_NTAR_ID,0))</f>
        <v/>
      </c>
      <c r="AE43" s="2869"/>
      <c r="AF43" s="2869"/>
      <c r="AG43" s="2869"/>
      <c r="AH43" s="2869"/>
      <c r="AI43" s="2869"/>
      <c r="AJ43" s="2869"/>
      <c r="AK43" s="2869"/>
      <c r="AL43" s="2870"/>
      <c r="AM43" s="18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250"/>
      <c r="AP43" s="2250" t="str">
        <f>IF(T43="","",T43)</f>
        <v>Наименование тарифа</v>
      </c>
      <c r="AQ43" s="2250"/>
      <c r="AR43" s="2250"/>
      <c r="AS43" s="2257">
        <v>21</v>
      </c>
    </row>
    <row customHeight="1" ht="22.049999999999997">
      <c r="A44" s="1893" t="s">
        <v>230</v>
      </c>
      <c r="B44" s="1893" t="s">
        <v>231</v>
      </c>
      <c r="C44" s="1893"/>
      <c r="D44" s="1893"/>
      <c r="E44" s="2916"/>
      <c r="F44" s="2915">
        <v>1</v>
      </c>
      <c r="G44" s="1893"/>
      <c r="H44" s="1893"/>
      <c r="I44" s="1893"/>
      <c r="J44" s="1893"/>
      <c r="K44" s="1893"/>
      <c r="L44" s="1936"/>
      <c r="M44" s="2236"/>
      <c r="N44" s="2236"/>
      <c r="O44" s="2236"/>
      <c r="P44" s="2566"/>
      <c r="Q44" s="978"/>
      <c r="R44" s="979"/>
      <c r="S44" s="2584" t="str">
        <f>INDEX(PT_DIFFERENTIATION_NUM_TER,MATCH(B44,PT_DIFFERENTIATION_TER_ID,0))</f>
        <v>.</v>
      </c>
      <c r="T44" s="2148" t="s">
        <v>415</v>
      </c>
      <c r="U44" s="926"/>
      <c r="V44" s="2868"/>
      <c r="W44" s="2869"/>
      <c r="X44" s="2869"/>
      <c r="Y44" s="2869"/>
      <c r="Z44" s="2869"/>
      <c r="AA44" s="2869"/>
      <c r="AB44" s="2869"/>
      <c r="AC44" s="2870"/>
      <c r="AD44" s="2868" t="str">
        <f>INDEX(PT_DIFFERENTIATION_TER,MATCH(B44,PT_DIFFERENTIATION_TER_ID,0))</f>
        <v/>
      </c>
      <c r="AE44" s="2869"/>
      <c r="AF44" s="2869"/>
      <c r="AG44" s="2869"/>
      <c r="AH44" s="2869"/>
      <c r="AI44" s="2869"/>
      <c r="AJ44" s="2869"/>
      <c r="AK44" s="2869"/>
      <c r="AL44" s="2870"/>
      <c r="AM44" s="1884" t="s">
        <v>416</v>
      </c>
      <c r="AO44" s="2250"/>
      <c r="AP44" s="2250" t="str">
        <f>IF(T44="","",T44)</f>
        <v>Территория действия тарифа</v>
      </c>
      <c r="AQ44" s="2250"/>
      <c r="AR44" s="2250"/>
      <c r="AS44" s="2257">
        <v>21</v>
      </c>
    </row>
    <row customHeight="1" ht="24">
      <c r="A45" s="1893" t="s">
        <v>230</v>
      </c>
      <c r="B45" s="1893" t="s">
        <v>231</v>
      </c>
      <c r="C45" s="1893" t="s">
        <v>232</v>
      </c>
      <c r="D45" s="1893"/>
      <c r="E45" s="2916"/>
      <c r="F45" s="2916"/>
      <c r="G45" s="2915">
        <v>1</v>
      </c>
      <c r="H45" s="1893"/>
      <c r="I45" s="1893"/>
      <c r="J45" s="1893"/>
      <c r="K45" s="1893"/>
      <c r="L45" s="1936"/>
      <c r="M45" s="2236"/>
      <c r="N45" s="2236"/>
      <c r="O45" s="2236"/>
      <c r="P45" s="980"/>
      <c r="Q45" s="978"/>
      <c r="R45" s="979"/>
      <c r="S45" s="2584" t="str">
        <f>INDEX(PT_DIFFERENTIATION_NUM_CS,MATCH(C45,PT_DIFFERENTIATION_CS_ID,0))</f>
        <v>..</v>
      </c>
      <c r="T45" s="935" t="s">
        <v>417</v>
      </c>
      <c r="U45" s="926"/>
      <c r="V45" s="2868"/>
      <c r="W45" s="2869"/>
      <c r="X45" s="2869"/>
      <c r="Y45" s="2869"/>
      <c r="Z45" s="2869"/>
      <c r="AA45" s="2869"/>
      <c r="AB45" s="2869"/>
      <c r="AC45" s="2870"/>
      <c r="AD45" s="2868" t="str">
        <f>INDEX(PT_DIFFERENTIATION_CS,MATCH(C45,PT_DIFFERENTIATION_CS_ID,0))</f>
        <v/>
      </c>
      <c r="AE45" s="2869"/>
      <c r="AF45" s="2869"/>
      <c r="AG45" s="2869"/>
      <c r="AH45" s="2869"/>
      <c r="AI45" s="2869"/>
      <c r="AJ45" s="2869"/>
      <c r="AK45" s="2869"/>
      <c r="AL45" s="2870"/>
      <c r="AM45" s="1884" t="s">
        <v>418</v>
      </c>
      <c r="AO45" s="2250"/>
      <c r="AP45" s="2250" t="str">
        <f>IF(T45="","",T45)</f>
        <v>Наименование системы теплоснабжения </v>
      </c>
      <c r="AQ45" s="2250"/>
      <c r="AR45" s="2250"/>
      <c r="AS45" s="2257">
        <v>23</v>
      </c>
    </row>
    <row customHeight="1" ht="22.049999999999997">
      <c r="A46" s="1893" t="s">
        <v>230</v>
      </c>
      <c r="B46" s="1893" t="s">
        <v>231</v>
      </c>
      <c r="C46" s="1893" t="s">
        <v>232</v>
      </c>
      <c r="D46" s="1893" t="s">
        <v>233</v>
      </c>
      <c r="E46" s="2916"/>
      <c r="F46" s="2916"/>
      <c r="G46" s="2916"/>
      <c r="H46" s="2915">
        <v>1</v>
      </c>
      <c r="I46" s="1893"/>
      <c r="J46" s="1893"/>
      <c r="K46" s="1893"/>
      <c r="L46" s="1936"/>
      <c r="M46" s="2236"/>
      <c r="N46" s="2236"/>
      <c r="O46" s="2236"/>
      <c r="P46" s="980"/>
      <c r="Q46" s="978"/>
      <c r="R46" s="979"/>
      <c r="S46" s="2584" t="str">
        <f>INDEX(PT_DIFFERENTIATION_NUM_IST_TE,MATCH(D46,PT_DIFFERENTIATION_IST_TE_ID,0))</f>
        <v>...</v>
      </c>
      <c r="T46" s="936" t="s">
        <v>419</v>
      </c>
      <c r="U46" s="926"/>
      <c r="V46" s="2868"/>
      <c r="W46" s="2869"/>
      <c r="X46" s="2869"/>
      <c r="Y46" s="2869"/>
      <c r="Z46" s="2869"/>
      <c r="AA46" s="2869"/>
      <c r="AB46" s="2869"/>
      <c r="AC46" s="2870"/>
      <c r="AD46" s="2868" t="str">
        <f>INDEX(PT_DIFFERENTIATION_IST_TE,MATCH(D46,PT_DIFFERENTIATION_IST_TE_ID,0))</f>
        <v/>
      </c>
      <c r="AE46" s="2869"/>
      <c r="AF46" s="2869"/>
      <c r="AG46" s="2869"/>
      <c r="AH46" s="2869"/>
      <c r="AI46" s="2869"/>
      <c r="AJ46" s="2869"/>
      <c r="AK46" s="2869"/>
      <c r="AL46" s="2870"/>
      <c r="AM46" s="1884" t="s">
        <v>420</v>
      </c>
      <c r="AO46" s="2250"/>
      <c r="AP46" s="2250" t="str">
        <f>IF(T46="","",T46)</f>
        <v>Источник тепловой энергии  </v>
      </c>
      <c r="AQ46" s="2250"/>
      <c r="AR46" s="2250"/>
      <c r="AS46" s="2257">
        <v>21</v>
      </c>
    </row>
    <row customHeight="1" ht="49.5">
      <c r="A47" s="1893" t="s">
        <v>230</v>
      </c>
      <c r="B47" s="1893" t="s">
        <v>231</v>
      </c>
      <c r="C47" s="1893" t="s">
        <v>232</v>
      </c>
      <c r="D47" s="1893" t="s">
        <v>233</v>
      </c>
      <c r="E47" s="2916"/>
      <c r="F47" s="2916"/>
      <c r="G47" s="2916"/>
      <c r="H47" s="2916"/>
      <c r="I47" s="2753" t="str">
        <f>S46&amp;".1"</f>
        <v>....1</v>
      </c>
      <c r="J47" s="1893"/>
      <c r="K47" s="1893"/>
      <c r="L47" s="1936" t="s">
        <v>421</v>
      </c>
      <c r="P47" s="2883">
        <v>1</v>
      </c>
      <c r="Q47" s="2580"/>
      <c r="R47" s="982"/>
      <c r="S47" s="2584" t="str">
        <f>$I47</f>
        <v>....1</v>
      </c>
      <c r="T47" s="911" t="s">
        <v>422</v>
      </c>
      <c r="U47" s="926"/>
      <c r="V47" s="2871"/>
      <c r="W47" s="2872"/>
      <c r="X47" s="2872"/>
      <c r="Y47" s="2872"/>
      <c r="Z47" s="2872"/>
      <c r="AA47" s="2872"/>
      <c r="AB47" s="2872"/>
      <c r="AC47" s="2873"/>
      <c r="AD47" s="2871"/>
      <c r="AE47" s="2872"/>
      <c r="AF47" s="2872"/>
      <c r="AG47" s="2872"/>
      <c r="AH47" s="2872"/>
      <c r="AI47" s="2872"/>
      <c r="AJ47" s="2872"/>
      <c r="AK47" s="2872"/>
      <c r="AL47" s="2873"/>
      <c r="AM47" s="1884" t="s">
        <v>423</v>
      </c>
      <c r="AO47" s="2250"/>
      <c r="AP47" s="2250" t="str">
        <f>IF(T47="","",T47)</f>
        <v>Схема подключения теплопотребляющей установки к коллектору источника тепловой энергии</v>
      </c>
      <c r="AQ47" s="2250"/>
      <c r="AR47" s="2250"/>
      <c r="AS47" s="2257">
        <v>47</v>
      </c>
    </row>
    <row customHeight="1" ht="22.049999999999997">
      <c r="A48" s="1893" t="s">
        <v>230</v>
      </c>
      <c r="B48" s="1893" t="s">
        <v>231</v>
      </c>
      <c r="C48" s="1893" t="s">
        <v>232</v>
      </c>
      <c r="D48" s="1893" t="s">
        <v>233</v>
      </c>
      <c r="E48" s="2916"/>
      <c r="F48" s="2916"/>
      <c r="G48" s="2916"/>
      <c r="H48" s="2916"/>
      <c r="I48" s="2727"/>
      <c r="J48" s="2753" t="str">
        <f>I47&amp;".1"</f>
        <v>....1.1</v>
      </c>
      <c r="K48" s="1893"/>
      <c r="L48" s="1936" t="s">
        <v>424</v>
      </c>
      <c r="P48" s="2883"/>
      <c r="Q48" s="2883">
        <v>1</v>
      </c>
      <c r="R48" s="983"/>
      <c r="S48" s="2584" t="str">
        <f>$J48</f>
        <v>....1.1</v>
      </c>
      <c r="T48" s="912" t="s">
        <v>425</v>
      </c>
      <c r="U48" s="926"/>
      <c r="V48" s="2871"/>
      <c r="W48" s="2872"/>
      <c r="X48" s="2872"/>
      <c r="Y48" s="2872"/>
      <c r="Z48" s="2872"/>
      <c r="AA48" s="2872"/>
      <c r="AB48" s="2872"/>
      <c r="AC48" s="2873"/>
      <c r="AD48" s="2871"/>
      <c r="AE48" s="2872"/>
      <c r="AF48" s="2872"/>
      <c r="AG48" s="2872"/>
      <c r="AH48" s="2872"/>
      <c r="AI48" s="2872"/>
      <c r="AJ48" s="2872"/>
      <c r="AK48" s="2872"/>
      <c r="AL48" s="2873"/>
      <c r="AM48" s="1884" t="s">
        <v>426</v>
      </c>
      <c r="AO48" s="2250"/>
      <c r="AP48" s="2250" t="str">
        <f>IF(T48="","",T48)</f>
        <v>Группа потребителей</v>
      </c>
      <c r="AQ48" s="2250"/>
      <c r="AR48" s="2250"/>
      <c r="AS48" s="2257">
        <v>21</v>
      </c>
    </row>
    <row customHeight="1" ht="22.049999999999997">
      <c r="A49" s="1893" t="s">
        <v>230</v>
      </c>
      <c r="B49" s="1893" t="s">
        <v>231</v>
      </c>
      <c r="C49" s="1893" t="s">
        <v>232</v>
      </c>
      <c r="D49" s="1893" t="s">
        <v>233</v>
      </c>
      <c r="E49" s="2916"/>
      <c r="F49" s="2916"/>
      <c r="G49" s="2916"/>
      <c r="H49" s="2916"/>
      <c r="I49" s="2727"/>
      <c r="J49" s="2727"/>
      <c r="K49" s="2753" t="str">
        <f>J48&amp;".1"</f>
        <v>....1.1.1</v>
      </c>
      <c r="L49" s="1936" t="s">
        <v>427</v>
      </c>
      <c r="P49" s="2883"/>
      <c r="Q49" s="2883"/>
      <c r="R49" s="983">
        <v>1</v>
      </c>
      <c r="S49" s="2584" t="str">
        <f>$K49</f>
        <v>....1.1.1</v>
      </c>
      <c r="T49" s="1973"/>
      <c r="U49" s="926"/>
      <c r="V49" s="1377"/>
      <c r="W49" s="951"/>
      <c r="X49" s="1377"/>
      <c r="Y49" s="1883"/>
      <c r="Z49" s="2891"/>
      <c r="AA49" s="2733" t="s">
        <v>66</v>
      </c>
      <c r="AB49" s="2891"/>
      <c r="AC49" s="2733" t="s">
        <v>66</v>
      </c>
      <c r="AD49" s="1377"/>
      <c r="AE49" s="951"/>
      <c r="AF49" s="1377"/>
      <c r="AG49" s="1883"/>
      <c r="AH49" s="2891"/>
      <c r="AI49" s="2733" t="s">
        <v>66</v>
      </c>
      <c r="AJ49" s="2913"/>
      <c r="AK49" s="2733" t="s">
        <v>66</v>
      </c>
      <c r="AL49" s="1974"/>
      <c r="AM49" s="2879" t="s">
        <v>428</v>
      </c>
      <c r="AN49" s="2262">
        <f>STRCHECKDATE(V50:AL50)</f>
      </c>
      <c r="AO49" s="2250"/>
      <c r="AP49" s="2250" t="str">
        <f>IF(T49="","",T49)</f>
        <v/>
      </c>
      <c r="AQ49" s="2250"/>
      <c r="AR49" s="2250"/>
      <c r="AS49" s="2257">
        <v>21</v>
      </c>
    </row>
    <row customHeight="1" ht="1.05">
      <c r="A50" s="1893" t="s">
        <v>230</v>
      </c>
      <c r="B50" s="1893" t="s">
        <v>231</v>
      </c>
      <c r="C50" s="1893" t="s">
        <v>232</v>
      </c>
      <c r="D50" s="1893" t="s">
        <v>233</v>
      </c>
      <c r="E50" s="2916"/>
      <c r="F50" s="2916"/>
      <c r="G50" s="2916"/>
      <c r="H50" s="2916"/>
      <c r="I50" s="2727"/>
      <c r="J50" s="2727"/>
      <c r="K50" s="2753"/>
      <c r="L50" s="1936"/>
      <c r="P50" s="2883"/>
      <c r="Q50" s="2883"/>
      <c r="R50" s="983"/>
      <c r="S50" s="2593"/>
      <c r="T50" s="926"/>
      <c r="U50" s="926"/>
      <c r="V50" s="951"/>
      <c r="W50" s="951"/>
      <c r="X50" s="951"/>
      <c r="Y50" s="954" t="str">
        <f>Z49&amp;"-"&amp;AB49</f>
        <v>-</v>
      </c>
      <c r="Z50" s="2892"/>
      <c r="AA50" s="2733"/>
      <c r="AB50" s="2892"/>
      <c r="AC50" s="2733"/>
      <c r="AD50" s="951"/>
      <c r="AE50" s="951"/>
      <c r="AF50" s="951"/>
      <c r="AG50" s="954" t="str">
        <f>AH49&amp;"-"&amp;AJ49</f>
        <v>-</v>
      </c>
      <c r="AH50" s="2892"/>
      <c r="AI50" s="2733"/>
      <c r="AJ50" s="2914"/>
      <c r="AK50" s="2733"/>
      <c r="AL50" s="1975"/>
      <c r="AM50" s="2880"/>
      <c r="AO50" s="2250"/>
      <c r="AP50" s="2250" t="str">
        <f>IF(T50="","",T50)</f>
        <v/>
      </c>
      <c r="AQ50" s="2250"/>
      <c r="AR50" s="2250"/>
      <c r="AS50" s="2257">
        <v>1</v>
      </c>
    </row>
    <row customHeight="1" ht="11.549999999999999">
      <c r="A51" s="1893" t="s">
        <v>230</v>
      </c>
      <c r="B51" s="1893" t="s">
        <v>231</v>
      </c>
      <c r="C51" s="1893" t="s">
        <v>232</v>
      </c>
      <c r="D51" s="1893" t="s">
        <v>233</v>
      </c>
      <c r="E51" s="2916"/>
      <c r="F51" s="2916"/>
      <c r="G51" s="2916"/>
      <c r="H51" s="2916"/>
      <c r="I51" s="2727"/>
      <c r="J51" s="2753"/>
      <c r="K51" s="1893"/>
      <c r="L51" s="1936"/>
      <c r="P51" s="2883"/>
      <c r="Q51" s="2883"/>
      <c r="R51" s="982"/>
      <c r="S51" s="1904"/>
      <c r="T51" s="914" t="s">
        <v>429</v>
      </c>
      <c r="U51" s="1226"/>
      <c r="V51" s="1226"/>
      <c r="W51" s="1226"/>
      <c r="X51" s="1226"/>
      <c r="Y51" s="1226"/>
      <c r="Z51" s="1226"/>
      <c r="AA51" s="1226"/>
      <c r="AB51" s="1226"/>
      <c r="AC51" s="1226"/>
      <c r="AD51" s="1226"/>
      <c r="AE51" s="1226"/>
      <c r="AF51" s="1226"/>
      <c r="AG51" s="1226"/>
      <c r="AH51" s="1226"/>
      <c r="AI51" s="1226"/>
      <c r="AJ51" s="1226"/>
      <c r="AK51" s="1226"/>
      <c r="AL51" s="950"/>
      <c r="AM51" s="2881"/>
      <c r="AO51" s="2250"/>
      <c r="AP51" s="2250" t="str">
        <f>IF(T51="","",T51)</f>
        <v>Добавить вид теплоносителя (параметры теплоносителя)</v>
      </c>
      <c r="AQ51" s="2250"/>
      <c r="AR51" s="2250"/>
      <c r="AS51" s="2257">
        <v>11</v>
      </c>
    </row>
    <row customHeight="1" ht="11.549999999999999">
      <c r="A52" s="1893" t="s">
        <v>230</v>
      </c>
      <c r="B52" s="1893" t="s">
        <v>231</v>
      </c>
      <c r="C52" s="1893" t="s">
        <v>232</v>
      </c>
      <c r="D52" s="1893" t="s">
        <v>233</v>
      </c>
      <c r="E52" s="2916"/>
      <c r="F52" s="2916"/>
      <c r="G52" s="2916"/>
      <c r="H52" s="2916"/>
      <c r="I52" s="2753"/>
      <c r="J52" s="1893"/>
      <c r="K52" s="1893"/>
      <c r="L52" s="1936"/>
      <c r="P52" s="2883"/>
      <c r="Q52" s="2580"/>
      <c r="R52" s="982"/>
      <c r="S52" s="1904"/>
      <c r="T52" s="913" t="s">
        <v>430</v>
      </c>
      <c r="U52" s="1226"/>
      <c r="V52" s="1226"/>
      <c r="W52" s="1226"/>
      <c r="X52" s="1226"/>
      <c r="Y52" s="1226"/>
      <c r="Z52" s="1226"/>
      <c r="AA52" s="1226"/>
      <c r="AB52" s="1226"/>
      <c r="AC52" s="992"/>
      <c r="AD52" s="1226"/>
      <c r="AE52" s="1226"/>
      <c r="AF52" s="1226"/>
      <c r="AG52" s="1226"/>
      <c r="AH52" s="1226"/>
      <c r="AI52" s="1226"/>
      <c r="AJ52" s="1226"/>
      <c r="AK52" s="992"/>
      <c r="AL52" s="1226"/>
      <c r="AM52" s="929"/>
      <c r="AO52" s="2250"/>
      <c r="AP52" s="2250" t="str">
        <f>IF(T52="","",T52)</f>
        <v>Добавить группу потребителей</v>
      </c>
      <c r="AQ52" s="2250"/>
      <c r="AR52" s="2250"/>
      <c r="AS52" s="2257">
        <v>11</v>
      </c>
    </row>
    <row customHeight="1" ht="14.699999999999998">
      <c r="A53" s="1893" t="s">
        <v>230</v>
      </c>
      <c r="B53" s="1893" t="s">
        <v>231</v>
      </c>
      <c r="C53" s="1893" t="s">
        <v>232</v>
      </c>
      <c r="D53" s="1893" t="s">
        <v>233</v>
      </c>
      <c r="E53" s="2916"/>
      <c r="F53" s="2916"/>
      <c r="G53" s="2916"/>
      <c r="H53" s="2915"/>
      <c r="I53" s="1893"/>
      <c r="J53" s="1893"/>
      <c r="K53" s="1893"/>
      <c r="L53" s="1936"/>
      <c r="M53" s="2236"/>
      <c r="N53" s="2236"/>
      <c r="O53" s="2261"/>
      <c r="P53" s="986"/>
      <c r="Q53" s="1001"/>
      <c r="R53" s="981"/>
      <c r="S53" s="1904"/>
      <c r="T53" s="991" t="s">
        <v>431</v>
      </c>
      <c r="U53" s="1226"/>
      <c r="V53" s="1226"/>
      <c r="W53" s="1226"/>
      <c r="X53" s="1226"/>
      <c r="Y53" s="1226"/>
      <c r="Z53" s="1226"/>
      <c r="AA53" s="1226"/>
      <c r="AB53" s="1226"/>
      <c r="AC53" s="992"/>
      <c r="AD53" s="1226"/>
      <c r="AE53" s="1226"/>
      <c r="AF53" s="1226"/>
      <c r="AG53" s="1226"/>
      <c r="AH53" s="1226"/>
      <c r="AI53" s="1226"/>
      <c r="AJ53" s="1226"/>
      <c r="AK53" s="992"/>
      <c r="AL53" s="1226"/>
      <c r="AM53" s="929"/>
      <c r="AO53" s="2250"/>
      <c r="AP53" s="2250" t="str">
        <f>IF(T53="","",T53)</f>
        <v>Добавить схему подключения</v>
      </c>
      <c r="AQ53" s="2250"/>
      <c r="AR53" s="2250"/>
      <c r="AS53" s="2257">
        <v>14</v>
      </c>
    </row>
    <row s="34658" customFormat="1" customHeight="1" ht="4.2">
      <c r="A54" s="2001" t="s">
        <v>230</v>
      </c>
      <c r="B54" s="2001" t="s">
        <v>231</v>
      </c>
      <c r="C54" s="2001" t="s">
        <v>232</v>
      </c>
      <c r="D54" s="2000"/>
      <c r="E54" s="2916"/>
      <c r="F54" s="2916"/>
      <c r="G54" s="2915"/>
      <c r="H54" s="2000"/>
      <c r="I54" s="2000"/>
      <c r="J54" s="2000"/>
      <c r="K54" s="2000"/>
      <c r="L54" s="2003"/>
      <c r="M54" s="2004"/>
      <c r="N54" s="2004"/>
      <c r="O54" s="977"/>
      <c r="P54" s="1942"/>
      <c r="Q54" s="1943"/>
      <c r="R54" s="1942"/>
      <c r="S54" s="1948"/>
      <c r="T54" s="1951" t="s">
        <v>432</v>
      </c>
      <c r="U54" s="1950"/>
      <c r="V54" s="1950"/>
      <c r="W54" s="1950"/>
      <c r="X54" s="1950"/>
      <c r="Y54" s="1950"/>
      <c r="Z54" s="1950"/>
      <c r="AA54" s="1950"/>
      <c r="AB54" s="1950"/>
      <c r="AC54" s="1950"/>
      <c r="AD54" s="1950"/>
      <c r="AE54" s="1950"/>
      <c r="AF54" s="1950"/>
      <c r="AG54" s="1950"/>
      <c r="AH54" s="1950"/>
      <c r="AI54" s="1950"/>
      <c r="AJ54" s="1950"/>
      <c r="AK54" s="1950"/>
      <c r="AL54" s="1950"/>
      <c r="AM54" s="1950"/>
      <c r="AO54" s="1877"/>
      <c r="AP54" s="1877" t="str">
        <f>IF(T54="","",T54)</f>
        <v>Добавить источник для дифференциации</v>
      </c>
      <c r="AQ54" s="1877"/>
      <c r="AR54" s="1877"/>
      <c r="AS54" s="2268">
        <v>4</v>
      </c>
    </row>
    <row s="34658" customFormat="1" customHeight="1" ht="4.2">
      <c r="A55" s="2001" t="s">
        <v>230</v>
      </c>
      <c r="B55" s="2001" t="s">
        <v>231</v>
      </c>
      <c r="C55" s="2000"/>
      <c r="D55" s="2000"/>
      <c r="E55" s="2916"/>
      <c r="F55" s="2915"/>
      <c r="G55" s="2000"/>
      <c r="H55" s="2000"/>
      <c r="I55" s="2000"/>
      <c r="J55" s="2000"/>
      <c r="K55" s="2000"/>
      <c r="L55" s="2003"/>
      <c r="M55" s="2005"/>
      <c r="N55" s="2005"/>
      <c r="O55" s="977"/>
      <c r="P55" s="1942"/>
      <c r="Q55" s="1943"/>
      <c r="R55" s="1942"/>
      <c r="S55" s="1948"/>
      <c r="T55" s="1951" t="s">
        <v>433</v>
      </c>
      <c r="U55" s="1950"/>
      <c r="V55" s="1950"/>
      <c r="W55" s="1950"/>
      <c r="X55" s="1950"/>
      <c r="Y55" s="1950"/>
      <c r="Z55" s="1950"/>
      <c r="AA55" s="1950"/>
      <c r="AB55" s="1950"/>
      <c r="AC55" s="1950"/>
      <c r="AD55" s="1950"/>
      <c r="AE55" s="1950"/>
      <c r="AF55" s="1950"/>
      <c r="AG55" s="1950"/>
      <c r="AH55" s="1950"/>
      <c r="AI55" s="1950"/>
      <c r="AJ55" s="1950"/>
      <c r="AK55" s="1950"/>
      <c r="AL55" s="1950"/>
      <c r="AM55" s="1950"/>
      <c r="AO55" s="1877"/>
      <c r="AP55" s="1877" t="str">
        <f>IF(T55="","",T55)</f>
        <v>Добавить централизованную систему для дифференциации</v>
      </c>
      <c r="AQ55" s="1877"/>
      <c r="AR55" s="1877"/>
      <c r="AS55" s="2268">
        <v>4</v>
      </c>
    </row>
    <row s="34658" customFormat="1" customHeight="1" ht="4.2">
      <c r="A56" s="2001" t="s">
        <v>230</v>
      </c>
      <c r="B56" s="2001"/>
      <c r="C56" s="2001"/>
      <c r="D56" s="2001"/>
      <c r="E56" s="2915"/>
      <c r="F56" s="2001"/>
      <c r="G56" s="2001"/>
      <c r="H56" s="2001"/>
      <c r="I56" s="2001"/>
      <c r="J56" s="2001"/>
      <c r="K56" s="2001"/>
      <c r="L56" s="2007"/>
      <c r="M56" s="2005"/>
      <c r="N56" s="2005"/>
      <c r="O56" s="977"/>
      <c r="P56" s="1006"/>
      <c r="Q56" s="1970"/>
      <c r="R56" s="1006"/>
      <c r="S56" s="1948"/>
      <c r="T56" s="1951" t="s">
        <v>434</v>
      </c>
      <c r="U56" s="1950"/>
      <c r="V56" s="1950"/>
      <c r="W56" s="1950"/>
      <c r="X56" s="1950"/>
      <c r="Y56" s="1950"/>
      <c r="Z56" s="1950"/>
      <c r="AA56" s="1950"/>
      <c r="AB56" s="1950"/>
      <c r="AC56" s="1950"/>
      <c r="AD56" s="1950"/>
      <c r="AE56" s="1950"/>
      <c r="AF56" s="1950"/>
      <c r="AG56" s="1950"/>
      <c r="AH56" s="1950"/>
      <c r="AI56" s="1950"/>
      <c r="AJ56" s="1950"/>
      <c r="AK56" s="1950"/>
      <c r="AL56" s="1950"/>
      <c r="AM56" s="1950"/>
      <c r="AO56" s="2250"/>
      <c r="AP56" s="2250" t="str">
        <f>IF(T56="","",T56)</f>
        <v>Добавить территорию для дифференциации</v>
      </c>
      <c r="AQ56" s="2250"/>
      <c r="AR56" s="2250"/>
      <c r="AS56" s="2262">
        <v>4</v>
      </c>
    </row>
    <row s="34658" customFormat="1" customHeight="1" ht="4.2">
      <c r="A57" s="2000"/>
      <c r="B57" s="2000"/>
      <c r="C57" s="2000"/>
      <c r="D57" s="2000"/>
      <c r="E57" s="2001"/>
      <c r="F57" s="2000"/>
      <c r="G57" s="2000"/>
      <c r="H57" s="2000"/>
      <c r="I57" s="2000"/>
      <c r="J57" s="2000"/>
      <c r="K57" s="2000"/>
      <c r="L57" s="2003"/>
      <c r="M57" s="2005"/>
      <c r="N57" s="2005"/>
      <c r="O57" s="977"/>
      <c r="P57" s="1942"/>
      <c r="Q57" s="1943"/>
      <c r="R57" s="1942"/>
      <c r="S57" s="1948"/>
      <c r="T57" s="1951" t="s">
        <v>466</v>
      </c>
      <c r="U57" s="1950"/>
      <c r="V57" s="1950"/>
      <c r="W57" s="1950"/>
      <c r="X57" s="1950"/>
      <c r="Y57" s="1950"/>
      <c r="Z57" s="1950"/>
      <c r="AA57" s="1950"/>
      <c r="AB57" s="1950"/>
      <c r="AC57" s="1950"/>
      <c r="AD57" s="1950"/>
      <c r="AE57" s="1950"/>
      <c r="AF57" s="1950"/>
      <c r="AG57" s="1950"/>
      <c r="AH57" s="1950"/>
      <c r="AI57" s="1950"/>
      <c r="AJ57" s="1950"/>
      <c r="AK57" s="1950"/>
      <c r="AL57" s="1950"/>
      <c r="AM57" s="1950"/>
      <c r="AO57" s="1877"/>
      <c r="AP57" s="1877" t="str">
        <f>IF(T57="","",T57)</f>
        <v>Добавить наименование тарифа</v>
      </c>
      <c r="AQ57" s="1877"/>
      <c r="AR57" s="1877"/>
      <c r="AS57" s="2268">
        <v>4</v>
      </c>
    </row>
    <row customHeight="1" ht="11.549999999999999">
      <c r="M58" s="2257"/>
      <c r="N58" s="2257"/>
      <c r="O58" s="2261"/>
      <c r="P58" s="2257"/>
      <c r="Q58" s="2257"/>
      <c r="R58" s="2257"/>
      <c r="S58" s="2257"/>
      <c r="AN58" s="2257"/>
      <c r="AO58" s="2257"/>
      <c r="AP58" s="2257"/>
      <c r="AQ58" s="2257"/>
      <c r="AR58" s="2257"/>
      <c r="AS58" s="2257">
        <v>11</v>
      </c>
    </row>
    <row customHeight="1" ht="28.5">
      <c r="O59" s="2261"/>
      <c r="S59" s="1879"/>
      <c r="T59" s="2911"/>
      <c r="U59" s="2911"/>
      <c r="V59" s="2911"/>
      <c r="W59" s="2911"/>
      <c r="X59" s="2911"/>
      <c r="Y59" s="2911"/>
      <c r="Z59" s="2911"/>
      <c r="AA59" s="2911"/>
      <c r="AB59" s="2911"/>
      <c r="AC59" s="2911"/>
      <c r="AD59" s="2911"/>
      <c r="AE59" s="2911"/>
      <c r="AF59" s="2911"/>
      <c r="AG59" s="2911"/>
      <c r="AH59" s="2911"/>
      <c r="AI59" s="2911"/>
      <c r="AJ59" s="2911"/>
      <c r="AK59" s="2911"/>
      <c r="AL59" s="2911"/>
      <c r="AM59" s="2911"/>
      <c r="AS59" s="2257">
        <v>27</v>
      </c>
    </row>
    <row customHeight="1" ht="65.25">
      <c r="O60" s="2261"/>
      <c r="T60" s="2911"/>
      <c r="U60" s="2911"/>
      <c r="V60" s="2911"/>
      <c r="W60" s="2911"/>
      <c r="X60" s="2911"/>
      <c r="Y60" s="2911"/>
      <c r="Z60" s="2911"/>
      <c r="AA60" s="2911"/>
      <c r="AB60" s="2911"/>
      <c r="AC60" s="2911"/>
      <c r="AD60" s="2911"/>
      <c r="AE60" s="2911"/>
      <c r="AF60" s="2911"/>
      <c r="AG60" s="2911"/>
      <c r="AH60" s="2911"/>
      <c r="AI60" s="2911"/>
      <c r="AJ60" s="2911"/>
      <c r="AK60" s="2911"/>
      <c r="AL60" s="2911"/>
      <c r="AM60" s="2911"/>
      <c r="AS60" s="2257">
        <v>62</v>
      </c>
    </row>
    <row customHeight="1" ht="14.699999999999998">
      <c r="O61" s="2261"/>
      <c r="AS61" s="2257">
        <v>14</v>
      </c>
    </row>
    <row customHeight="1" ht="18.75">
      <c r="O62" s="2261"/>
      <c r="S62" s="1879"/>
      <c r="T62" s="2911"/>
      <c r="U62" s="2911"/>
      <c r="V62" s="2911"/>
      <c r="W62" s="2911"/>
      <c r="X62" s="2911"/>
      <c r="Y62" s="2911"/>
      <c r="Z62" s="2911"/>
      <c r="AA62" s="2911"/>
      <c r="AB62" s="2911"/>
      <c r="AC62" s="2911"/>
      <c r="AD62" s="2911"/>
      <c r="AE62" s="2911"/>
      <c r="AF62" s="2911"/>
      <c r="AG62" s="2911"/>
      <c r="AH62" s="2911"/>
      <c r="AI62" s="2911"/>
      <c r="AJ62" s="2911"/>
      <c r="AK62" s="2911"/>
      <c r="AL62" s="2911"/>
      <c r="AM62" s="2911"/>
      <c r="AS62" s="2257">
        <v>18</v>
      </c>
    </row>
    <row customHeight="1" ht="18.75">
      <c r="O63" s="2261"/>
      <c r="T63" s="2911"/>
      <c r="U63" s="2911"/>
      <c r="V63" s="2911"/>
      <c r="W63" s="2911"/>
      <c r="X63" s="2911"/>
      <c r="Y63" s="2911"/>
      <c r="Z63" s="2911"/>
      <c r="AA63" s="2911"/>
      <c r="AB63" s="2911"/>
      <c r="AC63" s="2911"/>
      <c r="AD63" s="2911"/>
      <c r="AE63" s="2911"/>
      <c r="AF63" s="2911"/>
      <c r="AG63" s="2911"/>
      <c r="AH63" s="2911"/>
      <c r="AI63" s="2911"/>
      <c r="AJ63" s="2911"/>
      <c r="AK63" s="2911"/>
      <c r="AL63" s="2911"/>
      <c r="AM63" s="2911"/>
      <c r="AS63" s="2257">
        <v>18</v>
      </c>
    </row>
    <row customHeight="1" ht="29.25">
      <c r="O64" s="2261"/>
      <c r="S64" s="1879"/>
      <c r="T64" s="2911"/>
      <c r="U64" s="2911"/>
      <c r="V64" s="2911"/>
      <c r="W64" s="2911"/>
      <c r="X64" s="2911"/>
      <c r="Y64" s="2911"/>
      <c r="Z64" s="2911"/>
      <c r="AA64" s="2911"/>
      <c r="AB64" s="2911"/>
      <c r="AC64" s="2911"/>
      <c r="AD64" s="2911"/>
      <c r="AE64" s="2911"/>
      <c r="AF64" s="2911"/>
      <c r="AG64" s="2911"/>
      <c r="AH64" s="2911"/>
      <c r="AI64" s="2911"/>
      <c r="AJ64" s="2911"/>
      <c r="AK64" s="2911"/>
      <c r="AL64" s="2911"/>
      <c r="AM64" s="2911"/>
      <c r="AS64" s="2257">
        <v>28</v>
      </c>
    </row>
    <row customHeight="1" ht="22.5" hidden="1">
      <c r="A65" s="2257" t="s">
        <v>82</v>
      </c>
      <c r="B65" s="2257">
        <v>0</v>
      </c>
      <c r="C65" s="2257">
        <v>0</v>
      </c>
      <c r="D65" s="2257">
        <v>0</v>
      </c>
      <c r="E65" s="2257">
        <v>0</v>
      </c>
      <c r="F65" s="2257">
        <v>0</v>
      </c>
      <c r="G65" s="2257">
        <v>0</v>
      </c>
      <c r="H65" s="2257">
        <v>0</v>
      </c>
      <c r="I65" s="2257">
        <v>0</v>
      </c>
      <c r="J65" s="2257">
        <v>0</v>
      </c>
      <c r="K65" s="2257">
        <v>0</v>
      </c>
      <c r="L65" s="2565">
        <v>0</v>
      </c>
      <c r="M65" s="2591">
        <v>0</v>
      </c>
      <c r="N65" s="2591">
        <v>0</v>
      </c>
      <c r="O65" s="2591">
        <v>0</v>
      </c>
      <c r="P65" s="2591">
        <v>3</v>
      </c>
      <c r="Q65" s="970">
        <v>3</v>
      </c>
      <c r="R65" s="970">
        <v>3</v>
      </c>
      <c r="S65" s="1207">
        <v>12</v>
      </c>
      <c r="T65" s="2257">
        <v>31</v>
      </c>
      <c r="U65" s="2257">
        <v>0</v>
      </c>
      <c r="V65" s="2257">
        <v>0</v>
      </c>
      <c r="W65" s="2257">
        <v>0</v>
      </c>
      <c r="X65" s="2257">
        <v>0</v>
      </c>
      <c r="Y65" s="2257">
        <v>0</v>
      </c>
      <c r="Z65" s="2257">
        <v>0</v>
      </c>
      <c r="AA65" s="2257">
        <v>0</v>
      </c>
      <c r="AB65" s="2257">
        <v>0</v>
      </c>
      <c r="AC65" s="2257">
        <v>0</v>
      </c>
      <c r="AD65" s="2257">
        <v>24</v>
      </c>
      <c r="AE65" s="2257">
        <v>0</v>
      </c>
      <c r="AF65" s="2257">
        <v>24</v>
      </c>
      <c r="AG65" s="2257">
        <v>24</v>
      </c>
      <c r="AH65" s="2257">
        <v>11</v>
      </c>
      <c r="AI65" s="2257">
        <v>3</v>
      </c>
      <c r="AJ65" s="2257">
        <v>11</v>
      </c>
      <c r="AK65" s="2257">
        <v>0</v>
      </c>
      <c r="AL65" s="2257">
        <v>4</v>
      </c>
      <c r="AM65" s="2257">
        <v>115</v>
      </c>
      <c r="AN65" s="2262">
        <v>10</v>
      </c>
      <c r="AO65" s="2262">
        <v>10</v>
      </c>
      <c r="AP65" s="2262">
        <v>10</v>
      </c>
      <c r="AQ65" s="2262">
        <v>10</v>
      </c>
      <c r="AR65" s="2262">
        <v>10</v>
      </c>
      <c r="AS65" s="2257">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382ABB-0213-0661-E4CD-DDAA7984BDF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4580" width="10.57421875" hidden="1"/>
    <col min="2" max="2" style="34580" width="11.00390625" hidden="1" customWidth="1"/>
    <col min="3" max="3" style="34580" width="10.57421875" hidden="1"/>
    <col min="4" max="4" style="34580" width="11.8515625" hidden="1" customWidth="1"/>
    <col min="5" max="5" style="34580" width="10.00390625" hidden="1" customWidth="1"/>
    <col min="6" max="6" style="34580" width="8.7109375" hidden="1" customWidth="1"/>
    <col min="7" max="7" style="34580" width="7.57421875" hidden="1" customWidth="1"/>
    <col min="8" max="8" style="34580" width="11.421875" hidden="1" customWidth="1"/>
    <col min="9" max="9" style="34580" width="12.00390625" hidden="1" customWidth="1"/>
    <col min="10" max="10" style="34580" width="9.8515625" hidden="1" customWidth="1"/>
    <col min="11" max="11" style="34580" width="11.421875" hidden="1" customWidth="1"/>
    <col min="12" max="12" style="34655" width="19.140625" hidden="1" customWidth="1"/>
    <col min="13" max="14" style="35441" width="12.28125" hidden="1" customWidth="1"/>
    <col min="15" max="15" style="35441" width="23.421875" hidden="1" customWidth="1"/>
    <col min="16" max="16" style="35441" width="3.00390625" customWidth="1"/>
    <col min="17" max="18" style="35442" width="3.00390625" customWidth="1"/>
    <col min="19" max="19" style="35443" width="12.00390625" customWidth="1"/>
    <col min="20" max="20" style="34580" width="31.00390625" customWidth="1"/>
    <col min="21" max="21" style="34580" width="0.140625" customWidth="1"/>
    <col min="22" max="22" style="34580" width="24.7109375" hidden="1" customWidth="1"/>
    <col min="23" max="23" style="34580" width="0.140625" hidden="1" customWidth="1"/>
    <col min="24" max="25" style="34580" width="24.710937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24.7109375" customWidth="1"/>
    <col min="31" max="31" style="34580" width="0.140625" customWidth="1"/>
    <col min="32" max="33" style="34580" width="24.00390625" customWidth="1"/>
    <col min="34" max="34" style="34580" width="11.00390625" customWidth="1"/>
    <col min="35" max="35" style="34580" width="3.7109375" customWidth="1"/>
    <col min="36" max="36" style="34580" width="11.00390625" customWidth="1"/>
    <col min="37" max="37" style="34580" width="8.57421875" hidden="1" customWidth="1"/>
    <col min="38" max="38" style="34580" width="4.00390625" customWidth="1"/>
    <col min="39" max="39" style="34580" width="115.00390625" customWidth="1"/>
    <col min="40" max="44" style="34658" width="10.00390625" customWidth="1"/>
    <col min="45" max="45" style="34580" width="10.57421875" hidden="1"/>
  </cols>
  <sheetData>
    <row customHeight="1" ht="22.5" hidden="1">
      <c r="AS1" s="2257" t="s">
        <v>14</v>
      </c>
    </row>
    <row customHeight="1" ht="21" hidden="1">
      <c r="A2" s="1893"/>
      <c r="B2" s="1893"/>
      <c r="C2" s="1893"/>
      <c r="D2" s="1893"/>
      <c r="E2" s="2915">
        <v>1</v>
      </c>
      <c r="F2" s="1893"/>
      <c r="G2" s="1893"/>
      <c r="H2" s="1893"/>
      <c r="I2" s="1893"/>
      <c r="J2" s="1893"/>
      <c r="K2" s="1893"/>
      <c r="L2" s="1936"/>
      <c r="M2" s="2236"/>
      <c r="N2" s="2236"/>
      <c r="O2" s="2236"/>
      <c r="P2" s="2216"/>
      <c r="Q2" s="986"/>
      <c r="R2" s="981"/>
      <c r="S2" s="2584">
        <f>INDEX(PT_DIFFERENTIATION_NUM_NTAR,MATCH(A2,PT_DIFFERENTIATION_NTAR_ID,0))</f>
      </c>
      <c r="T2" s="2151" t="s">
        <v>143</v>
      </c>
      <c r="U2" s="926"/>
      <c r="V2" s="2868"/>
      <c r="W2" s="2869"/>
      <c r="X2" s="2869"/>
      <c r="Y2" s="2869"/>
      <c r="Z2" s="2869"/>
      <c r="AA2" s="2869"/>
      <c r="AB2" s="2869"/>
      <c r="AC2" s="2870"/>
      <c r="AD2" s="2868">
        <f>INDEX(PT_DIFFERENTIATION_NTAR,MATCH(A2,PT_DIFFERENTIATION_NTAR_ID,0))</f>
      </c>
      <c r="AE2" s="2869"/>
      <c r="AF2" s="2869"/>
      <c r="AG2" s="2869"/>
      <c r="AH2" s="2869"/>
      <c r="AI2" s="2869"/>
      <c r="AJ2" s="2869"/>
      <c r="AK2" s="2869"/>
      <c r="AL2" s="2870"/>
      <c r="AM2" s="1884" t="s">
        <v>414</v>
      </c>
      <c r="AO2" s="2250"/>
      <c r="AP2" s="2250" t="str">
        <f>IF(T2="","",T2)</f>
        <v>Наименование тарифа</v>
      </c>
      <c r="AQ2" s="2250"/>
      <c r="AR2" s="2250"/>
      <c r="AS2" s="2257">
        <v>0</v>
      </c>
    </row>
    <row customHeight="1" ht="21" hidden="1">
      <c r="A3" s="1893"/>
      <c r="B3" s="1893"/>
      <c r="C3" s="1893"/>
      <c r="D3" s="1893"/>
      <c r="E3" s="2916"/>
      <c r="F3" s="2915">
        <v>1</v>
      </c>
      <c r="G3" s="1893"/>
      <c r="H3" s="1893"/>
      <c r="I3" s="1893"/>
      <c r="J3" s="1893"/>
      <c r="K3" s="1893"/>
      <c r="L3" s="1936"/>
      <c r="M3" s="2236"/>
      <c r="N3" s="2236"/>
      <c r="O3" s="2236"/>
      <c r="P3" s="2566"/>
      <c r="Q3" s="978"/>
      <c r="R3" s="979"/>
      <c r="S3" s="2584">
        <f>INDEX(PT_DIFFERENTIATION_NUM_TER,MATCH(B3,PT_DIFFERENTIATION_TER_ID,0))</f>
      </c>
      <c r="T3" s="2148" t="s">
        <v>415</v>
      </c>
      <c r="U3" s="926"/>
      <c r="V3" s="2868"/>
      <c r="W3" s="2869"/>
      <c r="X3" s="2869"/>
      <c r="Y3" s="2869"/>
      <c r="Z3" s="2869"/>
      <c r="AA3" s="2869"/>
      <c r="AB3" s="2869"/>
      <c r="AC3" s="2870"/>
      <c r="AD3" s="2868">
        <f>INDEX(PT_DIFFERENTIATION_TER,MATCH(B3,PT_DIFFERENTIATION_TER_ID,0))</f>
      </c>
      <c r="AE3" s="2869"/>
      <c r="AF3" s="2869"/>
      <c r="AG3" s="2869"/>
      <c r="AH3" s="2869"/>
      <c r="AI3" s="2869"/>
      <c r="AJ3" s="2869"/>
      <c r="AK3" s="2869"/>
      <c r="AL3" s="2870"/>
      <c r="AM3" s="1884" t="s">
        <v>416</v>
      </c>
      <c r="AO3" s="2250"/>
      <c r="AP3" s="2250" t="str">
        <f>IF(T3="","",T3)</f>
        <v>Территория действия тарифа</v>
      </c>
      <c r="AQ3" s="2250"/>
      <c r="AR3" s="2250"/>
      <c r="AS3" s="2257">
        <v>0</v>
      </c>
    </row>
    <row customHeight="1" ht="23.25" hidden="1">
      <c r="A4" s="1893"/>
      <c r="B4" s="1893"/>
      <c r="C4" s="1893"/>
      <c r="D4" s="1893"/>
      <c r="E4" s="2916"/>
      <c r="F4" s="2916"/>
      <c r="G4" s="2915">
        <v>1</v>
      </c>
      <c r="H4" s="1893"/>
      <c r="I4" s="1893"/>
      <c r="J4" s="1893"/>
      <c r="K4" s="1893"/>
      <c r="L4" s="1936"/>
      <c r="M4" s="2236"/>
      <c r="N4" s="2236"/>
      <c r="O4" s="2236"/>
      <c r="P4" s="980"/>
      <c r="Q4" s="978"/>
      <c r="R4" s="979"/>
      <c r="S4" s="2584">
        <f>INDEX(PT_DIFFERENTIATION_NUM_CS,MATCH(C4,PT_DIFFERENTIATION_CS_ID,0))</f>
      </c>
      <c r="T4" s="935" t="s">
        <v>417</v>
      </c>
      <c r="U4" s="926"/>
      <c r="V4" s="2868"/>
      <c r="W4" s="2869"/>
      <c r="X4" s="2869"/>
      <c r="Y4" s="2869"/>
      <c r="Z4" s="2869"/>
      <c r="AA4" s="2869"/>
      <c r="AB4" s="2869"/>
      <c r="AC4" s="2870"/>
      <c r="AD4" s="2868">
        <f>INDEX(PT_DIFFERENTIATION_CS,MATCH(C4,PT_DIFFERENTIATION_CS_ID,0))</f>
      </c>
      <c r="AE4" s="2869"/>
      <c r="AF4" s="2869"/>
      <c r="AG4" s="2869"/>
      <c r="AH4" s="2869"/>
      <c r="AI4" s="2869"/>
      <c r="AJ4" s="2869"/>
      <c r="AK4" s="2869"/>
      <c r="AL4" s="2870"/>
      <c r="AM4" s="1884" t="s">
        <v>418</v>
      </c>
      <c r="AO4" s="2250"/>
      <c r="AP4" s="2250" t="str">
        <f>IF(T4="","",T4)</f>
        <v>Наименование системы теплоснабжения </v>
      </c>
      <c r="AQ4" s="2250"/>
      <c r="AR4" s="2250"/>
      <c r="AS4" s="2257">
        <v>0</v>
      </c>
    </row>
    <row customHeight="1" ht="21" hidden="1">
      <c r="A5" s="1893"/>
      <c r="B5" s="1893"/>
      <c r="C5" s="1893"/>
      <c r="D5" s="1893"/>
      <c r="E5" s="2916"/>
      <c r="F5" s="2916"/>
      <c r="G5" s="2916"/>
      <c r="H5" s="2915">
        <v>1</v>
      </c>
      <c r="I5" s="1893"/>
      <c r="J5" s="1893"/>
      <c r="K5" s="1893"/>
      <c r="L5" s="1936"/>
      <c r="M5" s="2236"/>
      <c r="N5" s="2236"/>
      <c r="O5" s="2236"/>
      <c r="P5" s="980"/>
      <c r="Q5" s="978"/>
      <c r="R5" s="979"/>
      <c r="S5" s="2584">
        <f>INDEX(PT_DIFFERENTIATION_NUM_IST_TE,MATCH(D5,PT_DIFFERENTIATION_IST_TE_ID,0))</f>
      </c>
      <c r="T5" s="936" t="s">
        <v>419</v>
      </c>
      <c r="U5" s="926"/>
      <c r="V5" s="2868"/>
      <c r="W5" s="2869"/>
      <c r="X5" s="2869"/>
      <c r="Y5" s="2869"/>
      <c r="Z5" s="2869"/>
      <c r="AA5" s="2869"/>
      <c r="AB5" s="2869"/>
      <c r="AC5" s="2870"/>
      <c r="AD5" s="2868">
        <f>INDEX(PT_DIFFERENTIATION_IST_TE,MATCH(D5,PT_DIFFERENTIATION_IST_TE_ID,0))</f>
      </c>
      <c r="AE5" s="2869"/>
      <c r="AF5" s="2869"/>
      <c r="AG5" s="2869"/>
      <c r="AH5" s="2869"/>
      <c r="AI5" s="2869"/>
      <c r="AJ5" s="2869"/>
      <c r="AK5" s="2869"/>
      <c r="AL5" s="2870"/>
      <c r="AM5" s="1884" t="s">
        <v>420</v>
      </c>
      <c r="AO5" s="2250"/>
      <c r="AP5" s="2250" t="str">
        <f>IF(T5="","",T5)</f>
        <v>Источник тепловой энергии  </v>
      </c>
      <c r="AQ5" s="2250"/>
      <c r="AR5" s="2250"/>
      <c r="AS5" s="2257">
        <v>0</v>
      </c>
    </row>
    <row customHeight="1" ht="47.25" hidden="1">
      <c r="A6" s="1893"/>
      <c r="B6" s="1893"/>
      <c r="C6" s="1893"/>
      <c r="D6" s="1893"/>
      <c r="E6" s="2916"/>
      <c r="F6" s="2916"/>
      <c r="G6" s="2916"/>
      <c r="H6" s="2916"/>
      <c r="I6" s="2753">
        <f>S5&amp;".1"</f>
      </c>
      <c r="J6" s="1893"/>
      <c r="K6" s="1893"/>
      <c r="L6" s="1936" t="s">
        <v>421</v>
      </c>
      <c r="M6" s="2261"/>
      <c r="P6" s="2883">
        <v>1</v>
      </c>
      <c r="Q6" s="2580"/>
      <c r="R6" s="982"/>
      <c r="S6" s="2584">
        <f>$I6</f>
      </c>
      <c r="T6" s="911" t="s">
        <v>422</v>
      </c>
      <c r="U6" s="926"/>
      <c r="V6" s="2871"/>
      <c r="W6" s="2872"/>
      <c r="X6" s="2872"/>
      <c r="Y6" s="2872"/>
      <c r="Z6" s="2872"/>
      <c r="AA6" s="2872"/>
      <c r="AB6" s="2872"/>
      <c r="AC6" s="2873"/>
      <c r="AD6" s="2871"/>
      <c r="AE6" s="2872"/>
      <c r="AF6" s="2872"/>
      <c r="AG6" s="2872"/>
      <c r="AH6" s="2872"/>
      <c r="AI6" s="2872"/>
      <c r="AJ6" s="2872"/>
      <c r="AK6" s="2872"/>
      <c r="AL6" s="2873"/>
      <c r="AM6" s="1884" t="s">
        <v>423</v>
      </c>
      <c r="AO6" s="2250"/>
      <c r="AP6" s="2250" t="str">
        <f>IF(T6="","",T6)</f>
        <v>Схема подключения теплопотребляющей установки к коллектору источника тепловой энергии</v>
      </c>
      <c r="AQ6" s="2250"/>
      <c r="AR6" s="2250"/>
      <c r="AS6" s="2257">
        <v>0</v>
      </c>
    </row>
    <row customHeight="1" ht="21" hidden="1">
      <c r="A7" s="1893"/>
      <c r="B7" s="1893"/>
      <c r="C7" s="1893"/>
      <c r="D7" s="1893"/>
      <c r="E7" s="2916"/>
      <c r="F7" s="2916"/>
      <c r="G7" s="2916"/>
      <c r="H7" s="2916"/>
      <c r="I7" s="2727"/>
      <c r="J7" s="2753">
        <f>I6&amp;".1"</f>
      </c>
      <c r="K7" s="1893"/>
      <c r="L7" s="1936" t="s">
        <v>424</v>
      </c>
      <c r="M7" s="2261"/>
      <c r="N7" s="2257"/>
      <c r="P7" s="2883"/>
      <c r="Q7" s="2883">
        <v>1</v>
      </c>
      <c r="R7" s="983"/>
      <c r="S7" s="2584">
        <f>$J7</f>
      </c>
      <c r="T7" s="912" t="s">
        <v>425</v>
      </c>
      <c r="U7" s="926"/>
      <c r="V7" s="2871"/>
      <c r="W7" s="2872"/>
      <c r="X7" s="2872"/>
      <c r="Y7" s="2872"/>
      <c r="Z7" s="2872"/>
      <c r="AA7" s="2872"/>
      <c r="AB7" s="2872"/>
      <c r="AC7" s="2873"/>
      <c r="AD7" s="2871"/>
      <c r="AE7" s="2872"/>
      <c r="AF7" s="2872"/>
      <c r="AG7" s="2872"/>
      <c r="AH7" s="2872"/>
      <c r="AI7" s="2872"/>
      <c r="AJ7" s="2872"/>
      <c r="AK7" s="2872"/>
      <c r="AL7" s="2873"/>
      <c r="AM7" s="1884" t="s">
        <v>426</v>
      </c>
      <c r="AO7" s="2250"/>
      <c r="AP7" s="2250" t="str">
        <f>IF(T7="","",T7)</f>
        <v>Группа потребителей</v>
      </c>
      <c r="AQ7" s="2250"/>
      <c r="AR7" s="2250"/>
      <c r="AS7" s="2257">
        <v>0</v>
      </c>
    </row>
    <row customHeight="1" ht="21" hidden="1">
      <c r="A8" s="1893"/>
      <c r="B8" s="1893"/>
      <c r="C8" s="1893"/>
      <c r="D8" s="1893"/>
      <c r="E8" s="2916"/>
      <c r="F8" s="2916"/>
      <c r="G8" s="2916"/>
      <c r="H8" s="2916"/>
      <c r="I8" s="2727"/>
      <c r="J8" s="2727"/>
      <c r="K8" s="2753">
        <f>J7&amp;".1"</f>
      </c>
      <c r="L8" s="1936" t="s">
        <v>427</v>
      </c>
      <c r="M8" s="2261"/>
      <c r="N8" s="2257"/>
      <c r="O8" s="2257"/>
      <c r="P8" s="2883"/>
      <c r="Q8" s="2883"/>
      <c r="R8" s="983">
        <v>1</v>
      </c>
      <c r="S8" s="2584">
        <f>$K8</f>
      </c>
      <c r="T8" s="1973"/>
      <c r="U8" s="926"/>
      <c r="V8" s="1377"/>
      <c r="W8" s="951"/>
      <c r="X8" s="1377"/>
      <c r="Y8" s="1883"/>
      <c r="Z8" s="2891"/>
      <c r="AA8" s="2733" t="s">
        <v>66</v>
      </c>
      <c r="AB8" s="2891"/>
      <c r="AC8" s="2733" t="s">
        <v>66</v>
      </c>
      <c r="AD8" s="1377"/>
      <c r="AE8" s="951"/>
      <c r="AF8" s="1377"/>
      <c r="AG8" s="1883"/>
      <c r="AH8" s="2891"/>
      <c r="AI8" s="2733" t="s">
        <v>66</v>
      </c>
      <c r="AJ8" s="2891"/>
      <c r="AK8" s="2733" t="s">
        <v>66</v>
      </c>
      <c r="AL8" s="951"/>
      <c r="AM8" s="2879" t="s">
        <v>428</v>
      </c>
      <c r="AN8" s="2262">
        <f>STRCHECKDATE(V9:AL9)</f>
      </c>
      <c r="AO8" s="2250"/>
      <c r="AP8" s="2250" t="str">
        <f>IF(T8="","",T8)</f>
        <v/>
      </c>
      <c r="AQ8" s="2250"/>
      <c r="AR8" s="2250"/>
      <c r="AS8" s="2257">
        <v>0</v>
      </c>
    </row>
    <row customHeight="1" ht="0.75" hidden="1">
      <c r="A9" s="1893"/>
      <c r="B9" s="1893"/>
      <c r="C9" s="1893"/>
      <c r="D9" s="1893"/>
      <c r="E9" s="2916"/>
      <c r="F9" s="2916"/>
      <c r="G9" s="2916"/>
      <c r="H9" s="2916"/>
      <c r="I9" s="2727"/>
      <c r="J9" s="2727"/>
      <c r="K9" s="2753"/>
      <c r="L9" s="1936"/>
      <c r="M9" s="2261"/>
      <c r="N9" s="2257"/>
      <c r="O9" s="2257"/>
      <c r="P9" s="2883"/>
      <c r="Q9" s="2883"/>
      <c r="R9" s="983"/>
      <c r="S9" s="2593"/>
      <c r="T9" s="926"/>
      <c r="U9" s="926"/>
      <c r="V9" s="951"/>
      <c r="W9" s="951"/>
      <c r="X9" s="951"/>
      <c r="Y9" s="954" t="str">
        <f>Z8&amp;"-"&amp;AB8</f>
        <v>-</v>
      </c>
      <c r="Z9" s="2892"/>
      <c r="AA9" s="2733"/>
      <c r="AB9" s="2892"/>
      <c r="AC9" s="2733"/>
      <c r="AD9" s="951"/>
      <c r="AE9" s="951"/>
      <c r="AF9" s="951"/>
      <c r="AG9" s="954" t="str">
        <f>AH8&amp;"-"&amp;AJ8</f>
        <v>-</v>
      </c>
      <c r="AH9" s="2892"/>
      <c r="AI9" s="2733"/>
      <c r="AJ9" s="2892"/>
      <c r="AK9" s="2733"/>
      <c r="AL9" s="951"/>
      <c r="AM9" s="2880"/>
      <c r="AO9" s="2250"/>
      <c r="AP9" s="2250" t="str">
        <f>IF(T9="","",T9)</f>
        <v/>
      </c>
      <c r="AQ9" s="2250"/>
      <c r="AR9" s="2250"/>
      <c r="AS9" s="2257">
        <v>0</v>
      </c>
    </row>
    <row customHeight="1" ht="15" hidden="1">
      <c r="A10" s="1893"/>
      <c r="B10" s="1893"/>
      <c r="C10" s="1893"/>
      <c r="D10" s="1893"/>
      <c r="E10" s="2916"/>
      <c r="F10" s="2916"/>
      <c r="G10" s="2916"/>
      <c r="H10" s="2916"/>
      <c r="I10" s="2727"/>
      <c r="J10" s="2753"/>
      <c r="K10" s="1893"/>
      <c r="L10" s="1936"/>
      <c r="M10" s="2261"/>
      <c r="N10" s="2257"/>
      <c r="P10" s="2883"/>
      <c r="Q10" s="2883"/>
      <c r="R10" s="982"/>
      <c r="S10" s="1904"/>
      <c r="T10" s="914" t="s">
        <v>429</v>
      </c>
      <c r="U10" s="1226"/>
      <c r="V10" s="1226"/>
      <c r="W10" s="1226"/>
      <c r="X10" s="1226"/>
      <c r="Y10" s="1226"/>
      <c r="Z10" s="1226"/>
      <c r="AA10" s="1226"/>
      <c r="AB10" s="1226"/>
      <c r="AC10" s="1226"/>
      <c r="AD10" s="1226"/>
      <c r="AE10" s="1226"/>
      <c r="AF10" s="1226"/>
      <c r="AG10" s="1226"/>
      <c r="AH10" s="1226"/>
      <c r="AI10" s="1226"/>
      <c r="AJ10" s="1226"/>
      <c r="AK10" s="1226"/>
      <c r="AL10" s="950"/>
      <c r="AM10" s="2881"/>
      <c r="AO10" s="2250"/>
      <c r="AP10" s="2250" t="str">
        <f>IF(T10="","",T10)</f>
        <v>Добавить вид теплоносителя (параметры теплоносителя)</v>
      </c>
      <c r="AQ10" s="2250"/>
      <c r="AR10" s="2250"/>
      <c r="AS10" s="2257">
        <v>0</v>
      </c>
    </row>
    <row customHeight="1" ht="15" hidden="1">
      <c r="A11" s="1893"/>
      <c r="B11" s="1893"/>
      <c r="C11" s="1893"/>
      <c r="D11" s="1893"/>
      <c r="E11" s="2916"/>
      <c r="F11" s="2916"/>
      <c r="G11" s="2916"/>
      <c r="H11" s="2916"/>
      <c r="I11" s="2753"/>
      <c r="J11" s="1893"/>
      <c r="K11" s="1893"/>
      <c r="L11" s="1936"/>
      <c r="M11" s="2261"/>
      <c r="P11" s="2883"/>
      <c r="Q11" s="2580"/>
      <c r="R11" s="982"/>
      <c r="S11" s="1904"/>
      <c r="T11" s="913" t="s">
        <v>430</v>
      </c>
      <c r="U11" s="1226"/>
      <c r="V11" s="1226"/>
      <c r="W11" s="1226"/>
      <c r="X11" s="1226"/>
      <c r="Y11" s="1226"/>
      <c r="Z11" s="1226"/>
      <c r="AA11" s="1226"/>
      <c r="AB11" s="1226"/>
      <c r="AC11" s="992"/>
      <c r="AD11" s="1226"/>
      <c r="AE11" s="1226"/>
      <c r="AF11" s="1226"/>
      <c r="AG11" s="1226"/>
      <c r="AH11" s="1226"/>
      <c r="AI11" s="1226"/>
      <c r="AJ11" s="1226"/>
      <c r="AK11" s="992"/>
      <c r="AL11" s="1226"/>
      <c r="AM11" s="929"/>
      <c r="AO11" s="2250"/>
      <c r="AP11" s="2250" t="str">
        <f>IF(T11="","",T11)</f>
        <v>Добавить группу потребителей</v>
      </c>
      <c r="AQ11" s="2250"/>
      <c r="AR11" s="2250"/>
      <c r="AS11" s="2257">
        <v>0</v>
      </c>
    </row>
    <row customHeight="1" ht="14.25" hidden="1">
      <c r="A12" s="1893"/>
      <c r="B12" s="1893"/>
      <c r="C12" s="1893"/>
      <c r="D12" s="1893"/>
      <c r="E12" s="2916"/>
      <c r="F12" s="2916"/>
      <c r="G12" s="2916"/>
      <c r="H12" s="2915"/>
      <c r="I12" s="1893"/>
      <c r="J12" s="1893"/>
      <c r="K12" s="1893"/>
      <c r="L12" s="1936"/>
      <c r="M12" s="2236"/>
      <c r="N12" s="2236"/>
      <c r="O12" s="2261"/>
      <c r="P12" s="986"/>
      <c r="Q12" s="1001"/>
      <c r="R12" s="981"/>
      <c r="S12" s="1904"/>
      <c r="T12" s="991" t="s">
        <v>431</v>
      </c>
      <c r="U12" s="1226"/>
      <c r="V12" s="1226"/>
      <c r="W12" s="1226"/>
      <c r="X12" s="1226"/>
      <c r="Y12" s="1226"/>
      <c r="Z12" s="1226"/>
      <c r="AA12" s="1226"/>
      <c r="AB12" s="1226"/>
      <c r="AC12" s="992"/>
      <c r="AD12" s="1226"/>
      <c r="AE12" s="1226"/>
      <c r="AF12" s="1226"/>
      <c r="AG12" s="1226"/>
      <c r="AH12" s="1226"/>
      <c r="AI12" s="1226"/>
      <c r="AJ12" s="1226"/>
      <c r="AK12" s="992"/>
      <c r="AL12" s="1226"/>
      <c r="AM12" s="929"/>
      <c r="AO12" s="2250"/>
      <c r="AP12" s="2250" t="str">
        <f>IF(T12="","",T12)</f>
        <v>Добавить схему подключения</v>
      </c>
      <c r="AQ12" s="2250"/>
      <c r="AR12" s="2250"/>
      <c r="AS12" s="2257">
        <v>0</v>
      </c>
    </row>
    <row s="34658" customFormat="1" customHeight="1" ht="0.75" hidden="1">
      <c r="A13" s="2600"/>
      <c r="B13" s="2600"/>
      <c r="C13" s="2600"/>
      <c r="D13" s="2600"/>
      <c r="E13" s="2916"/>
      <c r="F13" s="2916"/>
      <c r="G13" s="2915"/>
      <c r="H13" s="2600"/>
      <c r="I13" s="2600"/>
      <c r="J13" s="2600"/>
      <c r="K13" s="2600"/>
      <c r="L13" s="2006"/>
      <c r="M13" s="2236"/>
      <c r="N13" s="2236"/>
      <c r="O13" s="2261"/>
      <c r="P13" s="1942"/>
      <c r="Q13" s="1943"/>
      <c r="R13" s="1942"/>
      <c r="S13" s="1944"/>
      <c r="T13" s="1945" t="s">
        <v>432</v>
      </c>
      <c r="U13" s="1946"/>
      <c r="V13" s="1946"/>
      <c r="W13" s="1946"/>
      <c r="X13" s="1946"/>
      <c r="Y13" s="1946"/>
      <c r="Z13" s="1946"/>
      <c r="AA13" s="1946"/>
      <c r="AB13" s="1946"/>
      <c r="AC13" s="1946"/>
      <c r="AD13" s="1946"/>
      <c r="AE13" s="1946"/>
      <c r="AF13" s="1946"/>
      <c r="AG13" s="1946"/>
      <c r="AH13" s="1946"/>
      <c r="AI13" s="1946"/>
      <c r="AJ13" s="1946"/>
      <c r="AK13" s="1946"/>
      <c r="AL13" s="1946"/>
      <c r="AM13" s="1946"/>
      <c r="AO13" s="1877"/>
      <c r="AP13" s="1877" t="str">
        <f>IF(T13="","",T13)</f>
        <v>Добавить источник для дифференциации</v>
      </c>
      <c r="AQ13" s="1877"/>
      <c r="AR13" s="1877"/>
      <c r="AS13" s="2268">
        <v>0</v>
      </c>
    </row>
    <row s="34658" customFormat="1" customHeight="1" ht="0.75" hidden="1">
      <c r="A14" s="2600"/>
      <c r="B14" s="2600"/>
      <c r="C14" s="2600"/>
      <c r="D14" s="2600"/>
      <c r="E14" s="2916"/>
      <c r="F14" s="2915"/>
      <c r="G14" s="2600"/>
      <c r="H14" s="2600"/>
      <c r="I14" s="2600"/>
      <c r="J14" s="2600"/>
      <c r="K14" s="2600"/>
      <c r="L14" s="2006"/>
      <c r="M14" s="2601"/>
      <c r="N14" s="2601"/>
      <c r="O14" s="2261"/>
      <c r="P14" s="1942"/>
      <c r="Q14" s="1943"/>
      <c r="R14" s="1942"/>
      <c r="S14" s="1948"/>
      <c r="T14" s="1949" t="s">
        <v>433</v>
      </c>
      <c r="U14" s="1950"/>
      <c r="V14" s="1950"/>
      <c r="W14" s="1950"/>
      <c r="X14" s="1950"/>
      <c r="Y14" s="1950"/>
      <c r="Z14" s="1950"/>
      <c r="AA14" s="1950"/>
      <c r="AB14" s="1950"/>
      <c r="AC14" s="1950"/>
      <c r="AD14" s="1950"/>
      <c r="AE14" s="1950"/>
      <c r="AF14" s="1950"/>
      <c r="AG14" s="1950"/>
      <c r="AH14" s="1950"/>
      <c r="AI14" s="1950"/>
      <c r="AJ14" s="1950"/>
      <c r="AK14" s="1950"/>
      <c r="AL14" s="1950"/>
      <c r="AM14" s="1950"/>
      <c r="AO14" s="1877"/>
      <c r="AP14" s="1877" t="str">
        <f>IF(T14="","",T14)</f>
        <v>Добавить централизованную систему для дифференциации</v>
      </c>
      <c r="AQ14" s="1877"/>
      <c r="AR14" s="1877"/>
      <c r="AS14" s="2268">
        <v>0</v>
      </c>
    </row>
    <row s="34658" customFormat="1" customHeight="1" ht="0.75" hidden="1">
      <c r="A15" s="2600"/>
      <c r="B15" s="2600"/>
      <c r="C15" s="2600"/>
      <c r="D15" s="2600"/>
      <c r="E15" s="2915"/>
      <c r="F15" s="2600"/>
      <c r="G15" s="2600"/>
      <c r="H15" s="2600"/>
      <c r="I15" s="2600"/>
      <c r="J15" s="2600"/>
      <c r="K15" s="2600"/>
      <c r="L15" s="2006"/>
      <c r="M15" s="2601"/>
      <c r="N15" s="2601"/>
      <c r="O15" s="2261"/>
      <c r="P15" s="1942"/>
      <c r="Q15" s="1943"/>
      <c r="R15" s="1942"/>
      <c r="S15" s="1948"/>
      <c r="T15" s="1951" t="s">
        <v>434</v>
      </c>
      <c r="U15" s="1950"/>
      <c r="V15" s="1950"/>
      <c r="W15" s="1950"/>
      <c r="X15" s="1950"/>
      <c r="Y15" s="1950"/>
      <c r="Z15" s="1950"/>
      <c r="AA15" s="1950"/>
      <c r="AB15" s="1950"/>
      <c r="AC15" s="1950"/>
      <c r="AD15" s="1950"/>
      <c r="AE15" s="1950"/>
      <c r="AF15" s="1950"/>
      <c r="AG15" s="1950"/>
      <c r="AH15" s="1950"/>
      <c r="AI15" s="1950"/>
      <c r="AJ15" s="1950"/>
      <c r="AK15" s="1950"/>
      <c r="AL15" s="1950"/>
      <c r="AM15" s="1950"/>
      <c r="AO15" s="1877"/>
      <c r="AP15" s="1877" t="str">
        <f>IF(T15="","",T15)</f>
        <v>Добавить территорию для дифференциации</v>
      </c>
      <c r="AQ15" s="1877"/>
      <c r="AR15" s="1877"/>
      <c r="AS15" s="2268">
        <v>0</v>
      </c>
    </row>
    <row customHeight="1" ht="14.25" hidden="1">
      <c r="AS16" s="2257">
        <v>0</v>
      </c>
    </row>
    <row customHeight="1" ht="14.25" hidden="1">
      <c r="AD17" s="1986"/>
      <c r="AE17" s="1986"/>
      <c r="AF17" s="1986"/>
      <c r="AG17" s="1987"/>
      <c r="AH17" s="2893"/>
      <c r="AI17" s="2894" t="s">
        <v>66</v>
      </c>
      <c r="AJ17" s="2893"/>
      <c r="AK17" s="2894" t="s">
        <v>66</v>
      </c>
      <c r="AS17" s="2257">
        <v>0</v>
      </c>
    </row>
    <row customHeight="1" ht="14.25" hidden="1">
      <c r="AD18" s="1986"/>
      <c r="AE18" s="1986"/>
      <c r="AF18" s="1986"/>
      <c r="AG18" s="954" t="str">
        <f>AH17&amp;"-"&amp;AJ17</f>
        <v>-</v>
      </c>
      <c r="AH18" s="2894"/>
      <c r="AI18" s="2894"/>
      <c r="AJ18" s="2894"/>
      <c r="AK18" s="2894"/>
      <c r="AS18" s="2257">
        <v>0</v>
      </c>
    </row>
    <row customHeight="1" ht="14.25" hidden="1">
      <c r="AS19" s="2257">
        <v>0</v>
      </c>
    </row>
    <row s="34657" customFormat="1" customHeight="1" ht="14.25" hidden="1">
      <c r="A20" s="2257"/>
      <c r="B20" s="2257"/>
      <c r="C20" s="2257"/>
      <c r="D20" s="2257"/>
      <c r="E20" s="2257"/>
      <c r="F20" s="2257"/>
      <c r="G20" s="2257"/>
      <c r="H20" s="2257"/>
      <c r="I20" s="2257"/>
      <c r="J20" s="2257"/>
      <c r="K20" s="2257"/>
      <c r="L20" s="2565"/>
      <c r="M20" s="2591"/>
      <c r="N20" s="2591"/>
      <c r="O20" s="1971" t="s">
        <v>435</v>
      </c>
      <c r="P20" s="1988"/>
      <c r="Q20" s="1997"/>
      <c r="R20" s="1997"/>
      <c r="S20" s="1355"/>
      <c r="Z20" s="1993"/>
      <c r="AB20" s="1993"/>
      <c r="AH20" s="1993"/>
      <c r="AJ20" s="1993"/>
      <c r="AN20" s="2262"/>
      <c r="AO20" s="2262"/>
      <c r="AP20" s="2262"/>
      <c r="AQ20" s="2262"/>
      <c r="AR20" s="2262"/>
      <c r="AS20" s="1992">
        <v>0</v>
      </c>
    </row>
    <row s="34657" customFormat="1" customHeight="1" ht="14.25" hidden="1">
      <c r="A21" s="2257"/>
      <c r="B21" s="2257"/>
      <c r="C21" s="2257"/>
      <c r="D21" s="2257"/>
      <c r="E21" s="2257"/>
      <c r="F21" s="2257"/>
      <c r="G21" s="2257"/>
      <c r="H21" s="2257"/>
      <c r="I21" s="2257"/>
      <c r="J21" s="2257"/>
      <c r="K21" s="2257"/>
      <c r="L21" s="2565"/>
      <c r="M21" s="2591"/>
      <c r="N21" s="2591"/>
      <c r="O21" s="2591"/>
      <c r="P21" s="1988"/>
      <c r="Q21" s="1997"/>
      <c r="R21" s="1997"/>
      <c r="S21" s="1355"/>
      <c r="AN21" s="2262"/>
      <c r="AO21" s="2262"/>
      <c r="AP21" s="2262"/>
      <c r="AQ21" s="2262"/>
      <c r="AR21" s="2262"/>
      <c r="AS21" s="1992">
        <v>0</v>
      </c>
    </row>
    <row s="34657" customFormat="1" customHeight="1" ht="14.25" hidden="1">
      <c r="A22" s="2257"/>
      <c r="B22" s="2257"/>
      <c r="C22" s="2257"/>
      <c r="D22" s="2257"/>
      <c r="E22" s="2257"/>
      <c r="F22" s="2257"/>
      <c r="G22" s="2257"/>
      <c r="H22" s="2257"/>
      <c r="I22" s="2257"/>
      <c r="J22" s="2257"/>
      <c r="K22" s="2257"/>
      <c r="L22" s="2565"/>
      <c r="M22" s="2591"/>
      <c r="N22" s="2591"/>
      <c r="O22" s="1936" t="s">
        <v>436</v>
      </c>
      <c r="P22" s="1988"/>
      <c r="Q22" s="1997"/>
      <c r="R22" s="1997"/>
      <c r="S22" s="1355"/>
      <c r="T22" s="1992" t="s">
        <v>437</v>
      </c>
      <c r="AA22" s="1221" t="s">
        <v>438</v>
      </c>
      <c r="AC22" s="1221" t="s">
        <v>439</v>
      </c>
      <c r="AD22" s="1992" t="s">
        <v>437</v>
      </c>
      <c r="AI22" s="1221" t="s">
        <v>440</v>
      </c>
      <c r="AK22" s="1221" t="s">
        <v>439</v>
      </c>
      <c r="AN22" s="2262"/>
      <c r="AO22" s="2262"/>
      <c r="AP22" s="2262"/>
      <c r="AQ22" s="2262"/>
      <c r="AR22" s="2262"/>
      <c r="AS22" s="1992">
        <v>0</v>
      </c>
    </row>
    <row customHeight="1" ht="14.25" hidden="1">
      <c r="O23" s="1936"/>
      <c r="AS23" s="2257">
        <v>0</v>
      </c>
    </row>
    <row customHeight="1" ht="14.25" hidden="1">
      <c r="O24" s="1936"/>
      <c r="AS24" s="2257">
        <v>0</v>
      </c>
    </row>
    <row customHeight="1" ht="14.699999999999998">
      <c r="Q25" s="1002"/>
      <c r="R25" s="1002"/>
      <c r="S25" s="1901"/>
      <c r="T25" s="1083"/>
      <c r="U25" s="1083"/>
      <c r="V25" s="2261"/>
      <c r="W25" s="2261"/>
      <c r="X25" s="2261"/>
      <c r="Y25" s="2261"/>
      <c r="Z25" s="2261"/>
      <c r="AA25" s="2261"/>
      <c r="AB25" s="2261"/>
      <c r="AC25" s="2261"/>
      <c r="AD25" s="2261"/>
      <c r="AE25" s="2261"/>
      <c r="AF25" s="2261"/>
      <c r="AG25" s="2261"/>
      <c r="AH25" s="2261"/>
      <c r="AI25" s="2261"/>
      <c r="AJ25" s="2261"/>
      <c r="AK25" s="2261"/>
      <c r="AS25" s="2257">
        <v>14</v>
      </c>
    </row>
    <row customHeight="1" ht="14.699999999999998">
      <c r="Q26" s="1002"/>
      <c r="R26" s="1002"/>
      <c r="S26" s="28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4"/>
      <c r="U26" s="2874"/>
      <c r="V26" s="2874"/>
      <c r="W26" s="2874"/>
      <c r="X26" s="2874"/>
      <c r="Y26" s="2874"/>
      <c r="Z26" s="2874"/>
      <c r="AA26" s="2874"/>
      <c r="AB26" s="2874"/>
      <c r="AC26" s="2874"/>
      <c r="AD26" s="2874"/>
      <c r="AE26" s="2874"/>
      <c r="AF26" s="2874"/>
      <c r="AG26" s="2874"/>
      <c r="AH26" s="2874"/>
      <c r="AI26" s="2874"/>
      <c r="AJ26" s="2874"/>
      <c r="AK26" s="1869"/>
      <c r="AS26" s="2257">
        <v>14</v>
      </c>
    </row>
    <row customHeight="1" ht="14.699999999999998">
      <c r="Q27" s="1002"/>
      <c r="R27" s="1002"/>
      <c r="S27" s="2875" t="str">
        <f>IF(org=0,"Не определено",org)</f>
        <v>АО "ДГК"</v>
      </c>
      <c r="T27" s="2875"/>
      <c r="U27" s="2875"/>
      <c r="V27" s="2875"/>
      <c r="W27" s="2875"/>
      <c r="X27" s="2875"/>
      <c r="Y27" s="2875"/>
      <c r="Z27" s="2875"/>
      <c r="AA27" s="2875"/>
      <c r="AB27" s="2875"/>
      <c r="AC27" s="2875"/>
      <c r="AD27" s="2875"/>
      <c r="AE27" s="2875"/>
      <c r="AF27" s="2875"/>
      <c r="AG27" s="2875"/>
      <c r="AH27" s="2875"/>
      <c r="AI27" s="2875"/>
      <c r="AJ27" s="2875"/>
      <c r="AK27" s="1869"/>
      <c r="AS27" s="2257">
        <v>14</v>
      </c>
    </row>
    <row customHeight="1" ht="14.25" hidden="1">
      <c r="Q28" s="1002"/>
      <c r="R28" s="1002"/>
      <c r="S28" s="1901"/>
      <c r="T28" s="1083"/>
      <c r="U28" s="1083"/>
      <c r="V28" s="948"/>
      <c r="W28" s="948"/>
      <c r="X28" s="948"/>
      <c r="Y28" s="948"/>
      <c r="Z28" s="948"/>
      <c r="AA28" s="948"/>
      <c r="AB28" s="948"/>
      <c r="AC28" s="948"/>
      <c r="AD28" s="948"/>
      <c r="AE28" s="948"/>
      <c r="AF28" s="948"/>
      <c r="AG28" s="948"/>
      <c r="AH28" s="948"/>
      <c r="AI28" s="948"/>
      <c r="AJ28" s="948"/>
      <c r="AK28" s="948"/>
      <c r="AL28" s="2261"/>
      <c r="AS28" s="2257">
        <v>0</v>
      </c>
    </row>
    <row s="34794" customFormat="1" customHeight="1" ht="25.5" hidden="1">
      <c r="A29" s="1874"/>
      <c r="B29" s="1874"/>
      <c r="C29" s="1874"/>
      <c r="D29" s="1874"/>
      <c r="E29" s="1874"/>
      <c r="F29" s="1874"/>
      <c r="G29" s="1874"/>
      <c r="H29" s="1874"/>
      <c r="I29" s="1874"/>
      <c r="J29" s="1874"/>
      <c r="K29" s="1874"/>
      <c r="L29" s="2006"/>
      <c r="M29" s="1874"/>
      <c r="N29" s="1874"/>
      <c r="O29" s="1874"/>
      <c r="S29" s="2876" t="s">
        <v>42</v>
      </c>
      <c r="T29" s="2876"/>
      <c r="U29" s="1998"/>
      <c r="V29" s="2877" t="str">
        <f>IF(TITLE_NAME_OR_PR_CHANGE="",IF(TITLE_NAME_OR_PR="","",TITLE_NAME_OR_PR),TITLE_NAME_OR_PR_CHANGE)</f>
        <v/>
      </c>
      <c r="W29" s="2877"/>
      <c r="X29" s="2877"/>
      <c r="Y29" s="2877"/>
      <c r="Z29" s="2877"/>
      <c r="AA29" s="2877"/>
      <c r="AB29" s="2877"/>
      <c r="AC29" s="2261"/>
      <c r="AD29" s="2877" t="str">
        <f>IF(TITLE_NAME_OR_PR_CHANGE="",IF(TITLE_NAME_OR_PR="","",TITLE_NAME_OR_PR),TITLE_NAME_OR_PR_CHANGE)</f>
        <v/>
      </c>
      <c r="AE29" s="2877"/>
      <c r="AF29" s="2877"/>
      <c r="AG29" s="2877"/>
      <c r="AH29" s="2877"/>
      <c r="AI29" s="2877"/>
      <c r="AJ29" s="2877"/>
      <c r="AK29" s="2261"/>
      <c r="AL29" s="2261"/>
      <c r="AM29" s="906"/>
      <c r="AN29" s="994"/>
      <c r="AO29" s="994"/>
      <c r="AP29" s="994"/>
      <c r="AQ29" s="994"/>
      <c r="AR29" s="994"/>
      <c r="AS29" s="1044">
        <v>0</v>
      </c>
    </row>
    <row s="34794" customFormat="1" customHeight="1" ht="18.75" hidden="1">
      <c r="A30" s="1874"/>
      <c r="B30" s="1874"/>
      <c r="C30" s="1874"/>
      <c r="D30" s="1874"/>
      <c r="E30" s="1874"/>
      <c r="F30" s="1874"/>
      <c r="G30" s="1874"/>
      <c r="H30" s="1874"/>
      <c r="I30" s="1874"/>
      <c r="J30" s="1874"/>
      <c r="K30" s="1874"/>
      <c r="L30" s="2006"/>
      <c r="M30" s="1874"/>
      <c r="N30" s="1874"/>
      <c r="O30" s="1874"/>
      <c r="S30" s="2876" t="s">
        <v>441</v>
      </c>
      <c r="T30" s="2876"/>
      <c r="U30" s="1998"/>
      <c r="V30" s="2890" t="str">
        <f>IF(TITLE_DATE_PR_CHANGE="",IF(TITLE_DATE_PR="","",TITLE_DATE_PR),TITLE_DATE_PR_CHANGE)</f>
        <v/>
      </c>
      <c r="W30" s="2890"/>
      <c r="X30" s="2890"/>
      <c r="Y30" s="2890"/>
      <c r="Z30" s="2890"/>
      <c r="AA30" s="2890"/>
      <c r="AB30" s="2890"/>
      <c r="AC30" s="2261"/>
      <c r="AD30" s="2890" t="str">
        <f>IF(TITLE_DATE_PR_CHANGE="",IF(TITLE_DATE_PR="","",TITLE_DATE_PR),TITLE_DATE_PR_CHANGE)</f>
        <v/>
      </c>
      <c r="AE30" s="2890"/>
      <c r="AF30" s="2890"/>
      <c r="AG30" s="2890"/>
      <c r="AH30" s="2890"/>
      <c r="AI30" s="2890"/>
      <c r="AJ30" s="2890"/>
      <c r="AK30" s="2261"/>
      <c r="AL30" s="2261"/>
      <c r="AM30" s="906"/>
      <c r="AN30" s="994"/>
      <c r="AO30" s="994"/>
      <c r="AP30" s="994"/>
      <c r="AQ30" s="994"/>
      <c r="AR30" s="994"/>
      <c r="AS30" s="1044">
        <v>0</v>
      </c>
    </row>
    <row s="34794" customFormat="1" customHeight="1" ht="18.75" hidden="1">
      <c r="A31" s="1874"/>
      <c r="B31" s="1874"/>
      <c r="C31" s="1874"/>
      <c r="D31" s="1874"/>
      <c r="E31" s="1874"/>
      <c r="F31" s="1874"/>
      <c r="G31" s="1874"/>
      <c r="H31" s="1874"/>
      <c r="I31" s="1874"/>
      <c r="J31" s="1874"/>
      <c r="K31" s="1874"/>
      <c r="L31" s="2006"/>
      <c r="M31" s="1874"/>
      <c r="N31" s="1874"/>
      <c r="O31" s="1874"/>
      <c r="S31" s="2876" t="s">
        <v>442</v>
      </c>
      <c r="T31" s="2876"/>
      <c r="U31" s="1998"/>
      <c r="V31" s="2877" t="str">
        <f>IF(TITLE_NUMBER_PR_CHANGE="",IF(TITLE_NUMBER_PR="","",TITLE_NUMBER_PR),TITLE_NUMBER_PR_CHANGE)</f>
        <v/>
      </c>
      <c r="W31" s="2877"/>
      <c r="X31" s="2877"/>
      <c r="Y31" s="2877"/>
      <c r="Z31" s="2877"/>
      <c r="AA31" s="2877"/>
      <c r="AB31" s="2877"/>
      <c r="AC31" s="2261"/>
      <c r="AD31" s="2877" t="str">
        <f>IF(TITLE_NUMBER_PR_CHANGE="",IF(TITLE_NUMBER_PR="","",TITLE_NUMBER_PR),TITLE_NUMBER_PR_CHANGE)</f>
        <v/>
      </c>
      <c r="AE31" s="2877"/>
      <c r="AF31" s="2877"/>
      <c r="AG31" s="2877"/>
      <c r="AH31" s="2877"/>
      <c r="AI31" s="2877"/>
      <c r="AJ31" s="2877"/>
      <c r="AK31" s="2261"/>
      <c r="AL31" s="2261"/>
      <c r="AM31" s="906"/>
      <c r="AN31" s="994"/>
      <c r="AO31" s="994"/>
      <c r="AP31" s="994"/>
      <c r="AQ31" s="994"/>
      <c r="AR31" s="994"/>
      <c r="AS31" s="1044">
        <v>0</v>
      </c>
    </row>
    <row s="34794" customFormat="1" customHeight="1" ht="18.75" hidden="1">
      <c r="A32" s="1874"/>
      <c r="B32" s="1874"/>
      <c r="C32" s="1874"/>
      <c r="D32" s="1874"/>
      <c r="E32" s="1874"/>
      <c r="F32" s="1874"/>
      <c r="G32" s="1874"/>
      <c r="H32" s="1874"/>
      <c r="I32" s="1874"/>
      <c r="J32" s="1874"/>
      <c r="K32" s="1874"/>
      <c r="L32" s="2006"/>
      <c r="M32" s="1874"/>
      <c r="N32" s="1874"/>
      <c r="O32" s="1874"/>
      <c r="S32" s="2876" t="s">
        <v>43</v>
      </c>
      <c r="T32" s="2876"/>
      <c r="U32" s="1998"/>
      <c r="V32" s="2877" t="str">
        <f>IF(TITLE_IST_PUB_CHANGE="",IF(TITLE_IST_PUB="","",TITLE_IST_PUB),TITLE_IST_PUB_CHANGE)</f>
        <v/>
      </c>
      <c r="W32" s="2877"/>
      <c r="X32" s="2877"/>
      <c r="Y32" s="2877"/>
      <c r="Z32" s="2877"/>
      <c r="AA32" s="2877"/>
      <c r="AB32" s="2877"/>
      <c r="AC32" s="2261"/>
      <c r="AD32" s="2877" t="str">
        <f>IF(TITLE_IST_PUB_CHANGE="",IF(TITLE_IST_PUB="","",TITLE_IST_PUB),TITLE_IST_PUB_CHANGE)</f>
        <v/>
      </c>
      <c r="AE32" s="2877"/>
      <c r="AF32" s="2877"/>
      <c r="AG32" s="2877"/>
      <c r="AH32" s="2877"/>
      <c r="AI32" s="2877"/>
      <c r="AJ32" s="2877"/>
      <c r="AK32" s="2261"/>
      <c r="AL32" s="2261"/>
      <c r="AM32" s="906"/>
      <c r="AN32" s="994"/>
      <c r="AO32" s="994"/>
      <c r="AP32" s="994"/>
      <c r="AQ32" s="994"/>
      <c r="AR32" s="994"/>
      <c r="AS32" s="1044">
        <v>0</v>
      </c>
    </row>
    <row customHeight="1" ht="14.25" hidden="1">
      <c r="Q33" s="1002"/>
      <c r="R33" s="1002"/>
      <c r="S33" s="1901"/>
      <c r="T33" s="1083"/>
      <c r="U33" s="1083"/>
      <c r="V33" s="948"/>
      <c r="W33" s="948"/>
      <c r="X33" s="948"/>
      <c r="Y33" s="948"/>
      <c r="Z33" s="948"/>
      <c r="AA33" s="948"/>
      <c r="AB33" s="948"/>
      <c r="AC33" s="948"/>
      <c r="AD33" s="948"/>
      <c r="AE33" s="948"/>
      <c r="AF33" s="948"/>
      <c r="AG33" s="948"/>
      <c r="AH33" s="948"/>
      <c r="AI33" s="948"/>
      <c r="AJ33" s="948"/>
      <c r="AK33" s="948"/>
      <c r="AL33" s="2261"/>
      <c r="AS33" s="2257">
        <v>0</v>
      </c>
    </row>
    <row s="34794" customFormat="1" customHeight="1" ht="18.75" hidden="1">
      <c r="A34" s="1874"/>
      <c r="B34" s="1874"/>
      <c r="C34" s="1874"/>
      <c r="D34" s="1874"/>
      <c r="E34" s="1874"/>
      <c r="F34" s="1874"/>
      <c r="G34" s="1874"/>
      <c r="H34" s="1874"/>
      <c r="I34" s="1874"/>
      <c r="J34" s="1874"/>
      <c r="K34" s="1874"/>
      <c r="L34" s="2006"/>
      <c r="M34" s="1874"/>
      <c r="N34" s="1874"/>
      <c r="O34" s="1874"/>
      <c r="S34" s="2876" t="s">
        <v>443</v>
      </c>
      <c r="T34" s="2876"/>
      <c r="U34" s="1998"/>
      <c r="V34" s="2890" t="str">
        <f>IF(TITLE_DATE_PR_CHANGE="",IF(TITLE_DATE_PR="","",TITLE_DATE_PR),TITLE_DATE_PR_CHANGE)</f>
        <v/>
      </c>
      <c r="W34" s="2890"/>
      <c r="X34" s="2890"/>
      <c r="Y34" s="2890"/>
      <c r="Z34" s="2890"/>
      <c r="AA34" s="2890"/>
      <c r="AB34" s="2890"/>
      <c r="AC34" s="2261"/>
      <c r="AD34" s="2890" t="str">
        <f>IF(TITLE_DATE_PR_CHANGE="",IF(TITLE_DATE_PR="","",TITLE_DATE_PR),TITLE_DATE_PR_CHANGE)</f>
        <v/>
      </c>
      <c r="AE34" s="2890"/>
      <c r="AF34" s="2890"/>
      <c r="AG34" s="2890"/>
      <c r="AH34" s="2890"/>
      <c r="AI34" s="2890"/>
      <c r="AJ34" s="2890"/>
      <c r="AK34" s="2261"/>
      <c r="AL34" s="2261"/>
      <c r="AM34" s="906"/>
      <c r="AN34" s="994"/>
      <c r="AO34" s="994"/>
      <c r="AP34" s="994"/>
      <c r="AQ34" s="994"/>
      <c r="AR34" s="994"/>
      <c r="AS34" s="1044">
        <v>0</v>
      </c>
    </row>
    <row s="34794" customFormat="1" customHeight="1" ht="18.75" hidden="1">
      <c r="A35" s="1874"/>
      <c r="B35" s="1874"/>
      <c r="C35" s="1874"/>
      <c r="D35" s="1874"/>
      <c r="E35" s="1874"/>
      <c r="F35" s="1874"/>
      <c r="G35" s="1874"/>
      <c r="H35" s="1874"/>
      <c r="I35" s="1874"/>
      <c r="J35" s="1874"/>
      <c r="K35" s="1874"/>
      <c r="L35" s="2006"/>
      <c r="M35" s="1874"/>
      <c r="N35" s="1874"/>
      <c r="O35" s="1874"/>
      <c r="S35" s="2876" t="s">
        <v>444</v>
      </c>
      <c r="T35" s="2876"/>
      <c r="U35" s="1998"/>
      <c r="V35" s="2877" t="str">
        <f>IF(TITLE_NUMBER_PR_CHANGE="",IF(TITLE_NUMBER_PR="","",TITLE_NUMBER_PR),TITLE_NUMBER_PR_CHANGE)</f>
        <v/>
      </c>
      <c r="W35" s="2877"/>
      <c r="X35" s="2877"/>
      <c r="Y35" s="2877"/>
      <c r="Z35" s="2877"/>
      <c r="AA35" s="2877"/>
      <c r="AB35" s="2877"/>
      <c r="AC35" s="2261"/>
      <c r="AD35" s="2877" t="str">
        <f>IF(TITLE_NUMBER_PR_CHANGE="",IF(TITLE_NUMBER_PR="","",TITLE_NUMBER_PR),TITLE_NUMBER_PR_CHANGE)</f>
        <v/>
      </c>
      <c r="AE35" s="2877"/>
      <c r="AF35" s="2877"/>
      <c r="AG35" s="2877"/>
      <c r="AH35" s="2877"/>
      <c r="AI35" s="2877"/>
      <c r="AJ35" s="2877"/>
      <c r="AK35" s="2261"/>
      <c r="AL35" s="2261"/>
      <c r="AM35" s="906"/>
      <c r="AN35" s="994"/>
      <c r="AO35" s="994"/>
      <c r="AP35" s="994"/>
      <c r="AQ35" s="994"/>
      <c r="AR35" s="994"/>
      <c r="AS35" s="1044">
        <v>0</v>
      </c>
    </row>
    <row s="34794" customFormat="1" customHeight="1" ht="0">
      <c r="A36" s="1874"/>
      <c r="B36" s="1874"/>
      <c r="C36" s="1874"/>
      <c r="D36" s="1874"/>
      <c r="E36" s="1874"/>
      <c r="F36" s="1874"/>
      <c r="G36" s="1874"/>
      <c r="H36" s="1874"/>
      <c r="I36" s="1874"/>
      <c r="J36" s="1874"/>
      <c r="K36" s="1874"/>
      <c r="L36" s="2006"/>
      <c r="M36" s="1874"/>
      <c r="N36" s="1874"/>
      <c r="O36" s="1874"/>
      <c r="S36" s="2261"/>
      <c r="T36" s="2261"/>
      <c r="U36" s="2596"/>
      <c r="V36" s="2261"/>
      <c r="W36" s="2261"/>
      <c r="X36" s="2261"/>
      <c r="Y36" s="2261"/>
      <c r="Z36" s="2261"/>
      <c r="AA36" s="2261"/>
      <c r="AB36" s="2261"/>
      <c r="AC36" s="2268" t="s">
        <v>445</v>
      </c>
      <c r="AD36" s="2261"/>
      <c r="AE36" s="2261"/>
      <c r="AF36" s="2261"/>
      <c r="AG36" s="2261"/>
      <c r="AH36" s="2261"/>
      <c r="AI36" s="2261"/>
      <c r="AJ36" s="2261"/>
      <c r="AK36" s="2268" t="s">
        <v>445</v>
      </c>
      <c r="AN36" s="994"/>
      <c r="AO36" s="994"/>
      <c r="AP36" s="994"/>
      <c r="AQ36" s="994"/>
      <c r="AR36" s="994"/>
      <c r="AS36" s="1044">
        <v>0</v>
      </c>
    </row>
    <row customHeight="1" ht="14.699999999999998">
      <c r="Q37" s="1002"/>
      <c r="R37" s="1002"/>
      <c r="S37" s="1901"/>
      <c r="T37" s="1083"/>
      <c r="U37" s="1870"/>
      <c r="V37" s="2878"/>
      <c r="W37" s="2878"/>
      <c r="X37" s="2878"/>
      <c r="Y37" s="2878"/>
      <c r="Z37" s="2878"/>
      <c r="AA37" s="2878"/>
      <c r="AB37" s="2878"/>
      <c r="AC37" s="2878"/>
      <c r="AD37" s="2878"/>
      <c r="AE37" s="2878"/>
      <c r="AF37" s="2878"/>
      <c r="AG37" s="2878"/>
      <c r="AH37" s="2878"/>
      <c r="AI37" s="2878"/>
      <c r="AJ37" s="2878"/>
      <c r="AK37" s="2878"/>
      <c r="AS37" s="2257">
        <v>14</v>
      </c>
    </row>
    <row customHeight="1" ht="14.699999999999998">
      <c r="Q38" s="1002"/>
      <c r="R38" s="1002"/>
      <c r="S38" s="2753" t="s">
        <v>318</v>
      </c>
      <c r="T38" s="2753"/>
      <c r="U38" s="2753"/>
      <c r="V38" s="2753"/>
      <c r="W38" s="2753"/>
      <c r="X38" s="2753"/>
      <c r="Y38" s="2753"/>
      <c r="Z38" s="2753"/>
      <c r="AA38" s="2753"/>
      <c r="AB38" s="2753"/>
      <c r="AC38" s="2753"/>
      <c r="AD38" s="2753"/>
      <c r="AE38" s="2753"/>
      <c r="AF38" s="2753"/>
      <c r="AG38" s="2753"/>
      <c r="AH38" s="2753"/>
      <c r="AI38" s="2753"/>
      <c r="AJ38" s="2753"/>
      <c r="AK38" s="2753"/>
      <c r="AL38" s="2753"/>
      <c r="AM38" s="2753" t="s">
        <v>319</v>
      </c>
      <c r="AS38" s="2257">
        <v>14</v>
      </c>
    </row>
    <row customHeight="1" ht="14.699999999999998">
      <c r="Q39" s="1002"/>
      <c r="R39" s="1002"/>
      <c r="S39" s="2899" t="s">
        <v>88</v>
      </c>
      <c r="T39" s="2835" t="s">
        <v>446</v>
      </c>
      <c r="U39" s="963"/>
      <c r="V39" s="2900" t="s">
        <v>447</v>
      </c>
      <c r="W39" s="2901"/>
      <c r="X39" s="2901"/>
      <c r="Y39" s="2901"/>
      <c r="Z39" s="2901"/>
      <c r="AA39" s="2901"/>
      <c r="AB39" s="2902"/>
      <c r="AC39" s="2903" t="s">
        <v>448</v>
      </c>
      <c r="AD39" s="2900" t="s">
        <v>447</v>
      </c>
      <c r="AE39" s="2901"/>
      <c r="AF39" s="2901"/>
      <c r="AG39" s="2901"/>
      <c r="AH39" s="2901"/>
      <c r="AI39" s="2901"/>
      <c r="AJ39" s="2902"/>
      <c r="AK39" s="2903" t="s">
        <v>449</v>
      </c>
      <c r="AL39" s="2906" t="s">
        <v>450</v>
      </c>
      <c r="AM39" s="2753"/>
      <c r="AS39" s="2257">
        <v>14</v>
      </c>
    </row>
    <row customHeight="1" ht="35.699999999999996">
      <c r="Q40" s="1002"/>
      <c r="R40" s="1002"/>
      <c r="S40" s="2899"/>
      <c r="T40" s="2835"/>
      <c r="U40" s="1657"/>
      <c r="V40" s="2886" t="s">
        <v>451</v>
      </c>
      <c r="W40" s="2909" t="s">
        <v>452</v>
      </c>
      <c r="X40" s="2888" t="s">
        <v>453</v>
      </c>
      <c r="Y40" s="2889"/>
      <c r="Z40" s="2888" t="s">
        <v>467</v>
      </c>
      <c r="AA40" s="2895"/>
      <c r="AB40" s="2889"/>
      <c r="AC40" s="2904"/>
      <c r="AD40" s="2886" t="s">
        <v>451</v>
      </c>
      <c r="AE40" s="2909" t="s">
        <v>452</v>
      </c>
      <c r="AF40" s="2888" t="s">
        <v>453</v>
      </c>
      <c r="AG40" s="2889"/>
      <c r="AH40" s="2888" t="s">
        <v>454</v>
      </c>
      <c r="AI40" s="2895"/>
      <c r="AJ40" s="2889"/>
      <c r="AK40" s="2904"/>
      <c r="AL40" s="2907"/>
      <c r="AM40" s="2753"/>
      <c r="AS40" s="2257">
        <v>34</v>
      </c>
    </row>
    <row customHeight="1" ht="35.699999999999996">
      <c r="A41" s="1892"/>
      <c r="B41" s="1892" t="s">
        <v>155</v>
      </c>
      <c r="C41" s="1892" t="s">
        <v>156</v>
      </c>
      <c r="D41" s="1892" t="s">
        <v>157</v>
      </c>
      <c r="E41" s="1936" t="s">
        <v>455</v>
      </c>
      <c r="F41" s="1936" t="s">
        <v>456</v>
      </c>
      <c r="G41" s="1936" t="s">
        <v>457</v>
      </c>
      <c r="H41" s="1936" t="s">
        <v>458</v>
      </c>
      <c r="I41" s="1936" t="s">
        <v>459</v>
      </c>
      <c r="J41" s="1936" t="s">
        <v>460</v>
      </c>
      <c r="K41" s="1936" t="s">
        <v>461</v>
      </c>
      <c r="L41" s="1936" t="s">
        <v>436</v>
      </c>
      <c r="Q41" s="1002"/>
      <c r="R41" s="1002"/>
      <c r="S41" s="2899"/>
      <c r="T41" s="2835"/>
      <c r="U41" s="928"/>
      <c r="V41" s="2887"/>
      <c r="W41" s="2910"/>
      <c r="X41" s="2564" t="s">
        <v>462</v>
      </c>
      <c r="Y41" s="2564" t="s">
        <v>463</v>
      </c>
      <c r="Z41" s="2564" t="s">
        <v>464</v>
      </c>
      <c r="AA41" s="2896" t="s">
        <v>465</v>
      </c>
      <c r="AB41" s="2897"/>
      <c r="AC41" s="2905"/>
      <c r="AD41" s="2887"/>
      <c r="AE41" s="2910"/>
      <c r="AF41" s="2564" t="s">
        <v>462</v>
      </c>
      <c r="AG41" s="2564" t="s">
        <v>463</v>
      </c>
      <c r="AH41" s="2564" t="s">
        <v>464</v>
      </c>
      <c r="AI41" s="2896" t="s">
        <v>465</v>
      </c>
      <c r="AJ41" s="2897"/>
      <c r="AK41" s="2905"/>
      <c r="AL41" s="2908"/>
      <c r="AM41" s="2753"/>
      <c r="AS41" s="2257">
        <v>34</v>
      </c>
    </row>
    <row s="35197" customFormat="1" customHeight="1" ht="11.25" hidden="1">
      <c r="A42" s="1892"/>
      <c r="B42" s="1892"/>
      <c r="C42" s="1892"/>
      <c r="D42" s="1892"/>
      <c r="E42" s="1892"/>
      <c r="F42" s="1892"/>
      <c r="G42" s="1892"/>
      <c r="H42" s="1892"/>
      <c r="I42" s="1892"/>
      <c r="J42" s="1892"/>
      <c r="K42" s="1892"/>
      <c r="L42" s="1936"/>
      <c r="M42" s="2591"/>
      <c r="N42" s="2591"/>
      <c r="O42" s="2591"/>
      <c r="P42" s="1872"/>
      <c r="Q42" s="1873"/>
      <c r="R42" s="1880">
        <v>1</v>
      </c>
      <c r="S42" s="1903" t="s">
        <v>118</v>
      </c>
      <c r="T42" s="1881" t="s">
        <v>102</v>
      </c>
      <c r="U42" s="1871" t="str">
        <f>OFFSET(U42,0,-1)</f>
        <v>2</v>
      </c>
      <c r="V42" s="2582">
        <f>OFFSET(V42,0,-1)+1</f>
        <v>3</v>
      </c>
      <c r="W42" s="2582"/>
      <c r="X42" s="2582">
        <f>OFFSET(X42,0,-1)+1</f>
        <v>1</v>
      </c>
      <c r="Y42" s="2582">
        <f>OFFSET(Y42,0,-1)+1</f>
        <v>2</v>
      </c>
      <c r="Z42" s="2582">
        <f>OFFSET(Z42,0,-1)+1</f>
        <v>3</v>
      </c>
      <c r="AA42" s="2898">
        <f>OFFSET(AA42,0,-1)+1</f>
        <v>4</v>
      </c>
      <c r="AB42" s="2898"/>
      <c r="AC42" s="2582">
        <f>OFFSET(AC42,0,-2)+1</f>
        <v>5</v>
      </c>
      <c r="AD42" s="2582">
        <f>OFFSET(AD42,0,-1)+1</f>
        <v>6</v>
      </c>
      <c r="AE42" s="2582"/>
      <c r="AF42" s="2582">
        <f>OFFSET(AF42,0,-1)+1</f>
        <v>1</v>
      </c>
      <c r="AG42" s="2582">
        <f>OFFSET(AG42,0,-1)+1</f>
        <v>2</v>
      </c>
      <c r="AH42" s="2582">
        <f>OFFSET(AH42,0,-1)+1</f>
        <v>3</v>
      </c>
      <c r="AI42" s="2898">
        <f>OFFSET(AI42,0,-1)+1</f>
        <v>4</v>
      </c>
      <c r="AJ42" s="2898"/>
      <c r="AK42" s="2582">
        <f>OFFSET(AK42,0,-2)+1</f>
        <v>5</v>
      </c>
      <c r="AL42" s="1871">
        <f>OFFSET(AL42,0,-1)</f>
        <v>5</v>
      </c>
      <c r="AM42" s="2582">
        <f>OFFSET(AM42,0,-1)+1</f>
        <v>6</v>
      </c>
      <c r="AN42" s="2262"/>
      <c r="AO42" s="2262"/>
      <c r="AP42" s="2262"/>
      <c r="AQ42" s="2262"/>
      <c r="AR42" s="2262"/>
      <c r="AS42" s="2267">
        <v>0</v>
      </c>
    </row>
    <row customHeight="1" ht="22.049999999999997">
      <c r="A43" s="1893" t="s">
        <v>230</v>
      </c>
      <c r="B43" s="1893"/>
      <c r="C43" s="1893"/>
      <c r="D43" s="1893"/>
      <c r="E43" s="2915">
        <v>1</v>
      </c>
      <c r="F43" s="1893"/>
      <c r="G43" s="1893"/>
      <c r="H43" s="1893"/>
      <c r="I43" s="1893"/>
      <c r="J43" s="1893"/>
      <c r="K43" s="1893"/>
      <c r="L43" s="1936"/>
      <c r="M43" s="2236"/>
      <c r="N43" s="2236"/>
      <c r="O43" s="2236"/>
      <c r="P43" s="2216"/>
      <c r="Q43" s="986"/>
      <c r="R43" s="981"/>
      <c r="S43" s="2584">
        <f>INDEX(PT_DIFFERENTIATION_NUM_NTAR,MATCH(A43,PT_DIFFERENTIATION_NTAR_ID,0))</f>
        <v>0</v>
      </c>
      <c r="T43" s="2151" t="s">
        <v>143</v>
      </c>
      <c r="U43" s="926"/>
      <c r="V43" s="2868"/>
      <c r="W43" s="2869"/>
      <c r="X43" s="2869"/>
      <c r="Y43" s="2869"/>
      <c r="Z43" s="2869"/>
      <c r="AA43" s="2869"/>
      <c r="AB43" s="2869"/>
      <c r="AC43" s="2870"/>
      <c r="AD43" s="2868" t="str">
        <f>INDEX(PT_DIFFERENTIATION_NTAR,MATCH(A43,PT_DIFFERENTIATION_NTAR_ID,0))</f>
        <v/>
      </c>
      <c r="AE43" s="2869"/>
      <c r="AF43" s="2869"/>
      <c r="AG43" s="2869"/>
      <c r="AH43" s="2869"/>
      <c r="AI43" s="2869"/>
      <c r="AJ43" s="2869"/>
      <c r="AK43" s="2869"/>
      <c r="AL43" s="2870"/>
      <c r="AM43" s="18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250"/>
      <c r="AP43" s="2250" t="str">
        <f>IF(T43="","",T43)</f>
        <v>Наименование тарифа</v>
      </c>
      <c r="AQ43" s="2250"/>
      <c r="AR43" s="2250"/>
      <c r="AS43" s="2257">
        <v>21</v>
      </c>
    </row>
    <row customHeight="1" ht="22.049999999999997">
      <c r="A44" s="1893" t="s">
        <v>230</v>
      </c>
      <c r="B44" s="1893" t="s">
        <v>231</v>
      </c>
      <c r="C44" s="1893"/>
      <c r="D44" s="1893"/>
      <c r="E44" s="2916"/>
      <c r="F44" s="2915">
        <v>1</v>
      </c>
      <c r="G44" s="1893"/>
      <c r="H44" s="1893"/>
      <c r="I44" s="1893"/>
      <c r="J44" s="1893"/>
      <c r="K44" s="1893"/>
      <c r="L44" s="1936"/>
      <c r="M44" s="2236"/>
      <c r="N44" s="2236"/>
      <c r="O44" s="2236"/>
      <c r="P44" s="2566"/>
      <c r="Q44" s="978"/>
      <c r="R44" s="979"/>
      <c r="S44" s="2584" t="str">
        <f>INDEX(PT_DIFFERENTIATION_NUM_TER,MATCH(B44,PT_DIFFERENTIATION_TER_ID,0))</f>
        <v>.</v>
      </c>
      <c r="T44" s="2148" t="s">
        <v>415</v>
      </c>
      <c r="U44" s="926"/>
      <c r="V44" s="2868"/>
      <c r="W44" s="2869"/>
      <c r="X44" s="2869"/>
      <c r="Y44" s="2869"/>
      <c r="Z44" s="2869"/>
      <c r="AA44" s="2869"/>
      <c r="AB44" s="2869"/>
      <c r="AC44" s="2870"/>
      <c r="AD44" s="2868" t="str">
        <f>INDEX(PT_DIFFERENTIATION_TER,MATCH(B44,PT_DIFFERENTIATION_TER_ID,0))</f>
        <v/>
      </c>
      <c r="AE44" s="2869"/>
      <c r="AF44" s="2869"/>
      <c r="AG44" s="2869"/>
      <c r="AH44" s="2869"/>
      <c r="AI44" s="2869"/>
      <c r="AJ44" s="2869"/>
      <c r="AK44" s="2869"/>
      <c r="AL44" s="2870"/>
      <c r="AM44" s="1884" t="s">
        <v>416</v>
      </c>
      <c r="AO44" s="2250"/>
      <c r="AP44" s="2250" t="str">
        <f>IF(T44="","",T44)</f>
        <v>Территория действия тарифа</v>
      </c>
      <c r="AQ44" s="2250"/>
      <c r="AR44" s="2250"/>
      <c r="AS44" s="2257">
        <v>21</v>
      </c>
    </row>
    <row customHeight="1" ht="24">
      <c r="A45" s="1893" t="s">
        <v>230</v>
      </c>
      <c r="B45" s="1893" t="s">
        <v>231</v>
      </c>
      <c r="C45" s="1893" t="s">
        <v>232</v>
      </c>
      <c r="D45" s="1893"/>
      <c r="E45" s="2916"/>
      <c r="F45" s="2916"/>
      <c r="G45" s="2915">
        <v>1</v>
      </c>
      <c r="H45" s="1893"/>
      <c r="I45" s="1893"/>
      <c r="J45" s="1893"/>
      <c r="K45" s="1893"/>
      <c r="L45" s="1936"/>
      <c r="M45" s="2236"/>
      <c r="N45" s="2236"/>
      <c r="O45" s="2236"/>
      <c r="P45" s="980"/>
      <c r="Q45" s="978"/>
      <c r="R45" s="979"/>
      <c r="S45" s="2584" t="str">
        <f>INDEX(PT_DIFFERENTIATION_NUM_CS,MATCH(C45,PT_DIFFERENTIATION_CS_ID,0))</f>
        <v>..</v>
      </c>
      <c r="T45" s="935" t="s">
        <v>417</v>
      </c>
      <c r="U45" s="926"/>
      <c r="V45" s="2868"/>
      <c r="W45" s="2869"/>
      <c r="X45" s="2869"/>
      <c r="Y45" s="2869"/>
      <c r="Z45" s="2869"/>
      <c r="AA45" s="2869"/>
      <c r="AB45" s="2869"/>
      <c r="AC45" s="2870"/>
      <c r="AD45" s="2868" t="str">
        <f>INDEX(PT_DIFFERENTIATION_CS,MATCH(C45,PT_DIFFERENTIATION_CS_ID,0))</f>
        <v/>
      </c>
      <c r="AE45" s="2869"/>
      <c r="AF45" s="2869"/>
      <c r="AG45" s="2869"/>
      <c r="AH45" s="2869"/>
      <c r="AI45" s="2869"/>
      <c r="AJ45" s="2869"/>
      <c r="AK45" s="2869"/>
      <c r="AL45" s="2870"/>
      <c r="AM45" s="1884" t="s">
        <v>418</v>
      </c>
      <c r="AO45" s="2250"/>
      <c r="AP45" s="2250" t="str">
        <f>IF(T45="","",T45)</f>
        <v>Наименование системы теплоснабжения </v>
      </c>
      <c r="AQ45" s="2250"/>
      <c r="AR45" s="2250"/>
      <c r="AS45" s="2257">
        <v>23</v>
      </c>
    </row>
    <row customHeight="1" ht="22.049999999999997">
      <c r="A46" s="1893" t="s">
        <v>230</v>
      </c>
      <c r="B46" s="1893" t="s">
        <v>231</v>
      </c>
      <c r="C46" s="1893" t="s">
        <v>232</v>
      </c>
      <c r="D46" s="1893" t="s">
        <v>233</v>
      </c>
      <c r="E46" s="2916"/>
      <c r="F46" s="2916"/>
      <c r="G46" s="2916"/>
      <c r="H46" s="2915">
        <v>1</v>
      </c>
      <c r="I46" s="1893"/>
      <c r="J46" s="1893"/>
      <c r="K46" s="1893"/>
      <c r="L46" s="1936"/>
      <c r="M46" s="2236"/>
      <c r="N46" s="2236"/>
      <c r="O46" s="2236"/>
      <c r="P46" s="980"/>
      <c r="Q46" s="978"/>
      <c r="R46" s="979"/>
      <c r="S46" s="2584" t="str">
        <f>INDEX(PT_DIFFERENTIATION_NUM_IST_TE,MATCH(D46,PT_DIFFERENTIATION_IST_TE_ID,0))</f>
        <v>...</v>
      </c>
      <c r="T46" s="936" t="s">
        <v>419</v>
      </c>
      <c r="U46" s="926"/>
      <c r="V46" s="2868"/>
      <c r="W46" s="2869"/>
      <c r="X46" s="2869"/>
      <c r="Y46" s="2869"/>
      <c r="Z46" s="2869"/>
      <c r="AA46" s="2869"/>
      <c r="AB46" s="2869"/>
      <c r="AC46" s="2870"/>
      <c r="AD46" s="2868" t="str">
        <f>INDEX(PT_DIFFERENTIATION_IST_TE,MATCH(D46,PT_DIFFERENTIATION_IST_TE_ID,0))</f>
        <v/>
      </c>
      <c r="AE46" s="2869"/>
      <c r="AF46" s="2869"/>
      <c r="AG46" s="2869"/>
      <c r="AH46" s="2869"/>
      <c r="AI46" s="2869"/>
      <c r="AJ46" s="2869"/>
      <c r="AK46" s="2869"/>
      <c r="AL46" s="2870"/>
      <c r="AM46" s="1884" t="s">
        <v>420</v>
      </c>
      <c r="AO46" s="2250"/>
      <c r="AP46" s="2250" t="str">
        <f>IF(T46="","",T46)</f>
        <v>Источник тепловой энергии  </v>
      </c>
      <c r="AQ46" s="2250"/>
      <c r="AR46" s="2250"/>
      <c r="AS46" s="2257">
        <v>21</v>
      </c>
    </row>
    <row customHeight="1" ht="49.5">
      <c r="A47" s="1893" t="s">
        <v>230</v>
      </c>
      <c r="B47" s="1893" t="s">
        <v>231</v>
      </c>
      <c r="C47" s="1893" t="s">
        <v>232</v>
      </c>
      <c r="D47" s="1893" t="s">
        <v>233</v>
      </c>
      <c r="E47" s="2916"/>
      <c r="F47" s="2916"/>
      <c r="G47" s="2916"/>
      <c r="H47" s="2916"/>
      <c r="I47" s="2753" t="str">
        <f>S46&amp;".1"</f>
        <v>....1</v>
      </c>
      <c r="J47" s="1893"/>
      <c r="K47" s="1893"/>
      <c r="L47" s="1936" t="s">
        <v>421</v>
      </c>
      <c r="P47" s="2883">
        <v>1</v>
      </c>
      <c r="Q47" s="2580"/>
      <c r="R47" s="982"/>
      <c r="S47" s="2584" t="str">
        <f>$I47</f>
        <v>....1</v>
      </c>
      <c r="T47" s="911" t="s">
        <v>422</v>
      </c>
      <c r="U47" s="926"/>
      <c r="V47" s="2871"/>
      <c r="W47" s="2872"/>
      <c r="X47" s="2872"/>
      <c r="Y47" s="2872"/>
      <c r="Z47" s="2872"/>
      <c r="AA47" s="2872"/>
      <c r="AB47" s="2872"/>
      <c r="AC47" s="2873"/>
      <c r="AD47" s="2871"/>
      <c r="AE47" s="2872"/>
      <c r="AF47" s="2872"/>
      <c r="AG47" s="2872"/>
      <c r="AH47" s="2872"/>
      <c r="AI47" s="2872"/>
      <c r="AJ47" s="2872"/>
      <c r="AK47" s="2872"/>
      <c r="AL47" s="2873"/>
      <c r="AM47" s="1884" t="s">
        <v>423</v>
      </c>
      <c r="AO47" s="2250"/>
      <c r="AP47" s="2250" t="str">
        <f>IF(T47="","",T47)</f>
        <v>Схема подключения теплопотребляющей установки к коллектору источника тепловой энергии</v>
      </c>
      <c r="AQ47" s="2250"/>
      <c r="AR47" s="2250"/>
      <c r="AS47" s="2257">
        <v>47</v>
      </c>
    </row>
    <row customHeight="1" ht="22.049999999999997">
      <c r="A48" s="1893" t="s">
        <v>230</v>
      </c>
      <c r="B48" s="1893" t="s">
        <v>231</v>
      </c>
      <c r="C48" s="1893" t="s">
        <v>232</v>
      </c>
      <c r="D48" s="1893" t="s">
        <v>233</v>
      </c>
      <c r="E48" s="2916"/>
      <c r="F48" s="2916"/>
      <c r="G48" s="2916"/>
      <c r="H48" s="2916"/>
      <c r="I48" s="2727"/>
      <c r="J48" s="2753" t="str">
        <f>I47&amp;".1"</f>
        <v>....1.1</v>
      </c>
      <c r="K48" s="1893"/>
      <c r="L48" s="1936" t="s">
        <v>424</v>
      </c>
      <c r="P48" s="2883"/>
      <c r="Q48" s="2883">
        <v>1</v>
      </c>
      <c r="R48" s="983"/>
      <c r="S48" s="2584" t="str">
        <f>$J48</f>
        <v>....1.1</v>
      </c>
      <c r="T48" s="912" t="s">
        <v>425</v>
      </c>
      <c r="U48" s="926"/>
      <c r="V48" s="2871"/>
      <c r="W48" s="2872"/>
      <c r="X48" s="2872"/>
      <c r="Y48" s="2872"/>
      <c r="Z48" s="2872"/>
      <c r="AA48" s="2872"/>
      <c r="AB48" s="2872"/>
      <c r="AC48" s="2873"/>
      <c r="AD48" s="2871"/>
      <c r="AE48" s="2872"/>
      <c r="AF48" s="2872"/>
      <c r="AG48" s="2872"/>
      <c r="AH48" s="2872"/>
      <c r="AI48" s="2872"/>
      <c r="AJ48" s="2872"/>
      <c r="AK48" s="2872"/>
      <c r="AL48" s="2873"/>
      <c r="AM48" s="1884" t="s">
        <v>426</v>
      </c>
      <c r="AO48" s="2250"/>
      <c r="AP48" s="2250" t="str">
        <f>IF(T48="","",T48)</f>
        <v>Группа потребителей</v>
      </c>
      <c r="AQ48" s="2250"/>
      <c r="AR48" s="2250"/>
      <c r="AS48" s="2257">
        <v>21</v>
      </c>
    </row>
    <row customHeight="1" ht="22.049999999999997">
      <c r="A49" s="1893" t="s">
        <v>230</v>
      </c>
      <c r="B49" s="1893" t="s">
        <v>231</v>
      </c>
      <c r="C49" s="1893" t="s">
        <v>232</v>
      </c>
      <c r="D49" s="1893" t="s">
        <v>233</v>
      </c>
      <c r="E49" s="2916"/>
      <c r="F49" s="2916"/>
      <c r="G49" s="2916"/>
      <c r="H49" s="2916"/>
      <c r="I49" s="2727"/>
      <c r="J49" s="2727"/>
      <c r="K49" s="2753" t="str">
        <f>J48&amp;".1"</f>
        <v>....1.1.1</v>
      </c>
      <c r="L49" s="1936" t="s">
        <v>427</v>
      </c>
      <c r="P49" s="2883"/>
      <c r="Q49" s="2883"/>
      <c r="R49" s="983">
        <v>1</v>
      </c>
      <c r="S49" s="2584" t="str">
        <f>$K49</f>
        <v>....1.1.1</v>
      </c>
      <c r="T49" s="1973"/>
      <c r="U49" s="926"/>
      <c r="V49" s="1377"/>
      <c r="W49" s="951"/>
      <c r="X49" s="1377"/>
      <c r="Y49" s="1883"/>
      <c r="Z49" s="2891"/>
      <c r="AA49" s="2733" t="s">
        <v>66</v>
      </c>
      <c r="AB49" s="2891"/>
      <c r="AC49" s="2733" t="s">
        <v>66</v>
      </c>
      <c r="AD49" s="1377"/>
      <c r="AE49" s="951"/>
      <c r="AF49" s="1377"/>
      <c r="AG49" s="1883"/>
      <c r="AH49" s="2891"/>
      <c r="AI49" s="2733" t="s">
        <v>66</v>
      </c>
      <c r="AJ49" s="2913"/>
      <c r="AK49" s="2733" t="s">
        <v>66</v>
      </c>
      <c r="AL49" s="1974"/>
      <c r="AM49" s="2879" t="s">
        <v>428</v>
      </c>
      <c r="AN49" s="2262">
        <f>STRCHECKDATE(V50:AL50)</f>
      </c>
      <c r="AO49" s="2250"/>
      <c r="AP49" s="2250" t="str">
        <f>IF(T49="","",T49)</f>
        <v/>
      </c>
      <c r="AQ49" s="2250"/>
      <c r="AR49" s="2250"/>
      <c r="AS49" s="2257">
        <v>21</v>
      </c>
    </row>
    <row customHeight="1" ht="1.05">
      <c r="A50" s="1893" t="s">
        <v>230</v>
      </c>
      <c r="B50" s="1893" t="s">
        <v>231</v>
      </c>
      <c r="C50" s="1893" t="s">
        <v>232</v>
      </c>
      <c r="D50" s="1893" t="s">
        <v>233</v>
      </c>
      <c r="E50" s="2916"/>
      <c r="F50" s="2916"/>
      <c r="G50" s="2916"/>
      <c r="H50" s="2916"/>
      <c r="I50" s="2727"/>
      <c r="J50" s="2727"/>
      <c r="K50" s="2753"/>
      <c r="L50" s="1936"/>
      <c r="P50" s="2883"/>
      <c r="Q50" s="2883"/>
      <c r="R50" s="983"/>
      <c r="S50" s="2593"/>
      <c r="T50" s="926"/>
      <c r="U50" s="926"/>
      <c r="V50" s="951"/>
      <c r="W50" s="951"/>
      <c r="X50" s="951"/>
      <c r="Y50" s="954" t="str">
        <f>Z49&amp;"-"&amp;AB49</f>
        <v>-</v>
      </c>
      <c r="Z50" s="2892"/>
      <c r="AA50" s="2733"/>
      <c r="AB50" s="2892"/>
      <c r="AC50" s="2733"/>
      <c r="AD50" s="951"/>
      <c r="AE50" s="951"/>
      <c r="AF50" s="951"/>
      <c r="AG50" s="954" t="str">
        <f>AH49&amp;"-"&amp;AJ49</f>
        <v>-</v>
      </c>
      <c r="AH50" s="2892"/>
      <c r="AI50" s="2733"/>
      <c r="AJ50" s="2914"/>
      <c r="AK50" s="2733"/>
      <c r="AL50" s="1975"/>
      <c r="AM50" s="2880"/>
      <c r="AO50" s="2250"/>
      <c r="AP50" s="2250" t="str">
        <f>IF(T50="","",T50)</f>
        <v/>
      </c>
      <c r="AQ50" s="2250"/>
      <c r="AR50" s="2250"/>
      <c r="AS50" s="2257">
        <v>1</v>
      </c>
    </row>
    <row customHeight="1" ht="11.549999999999999">
      <c r="A51" s="1893" t="s">
        <v>230</v>
      </c>
      <c r="B51" s="1893" t="s">
        <v>231</v>
      </c>
      <c r="C51" s="1893" t="s">
        <v>232</v>
      </c>
      <c r="D51" s="1893" t="s">
        <v>233</v>
      </c>
      <c r="E51" s="2916"/>
      <c r="F51" s="2916"/>
      <c r="G51" s="2916"/>
      <c r="H51" s="2916"/>
      <c r="I51" s="2727"/>
      <c r="J51" s="2753"/>
      <c r="K51" s="1893"/>
      <c r="L51" s="1936"/>
      <c r="P51" s="2883"/>
      <c r="Q51" s="2883"/>
      <c r="R51" s="982"/>
      <c r="S51" s="1904"/>
      <c r="T51" s="914" t="s">
        <v>429</v>
      </c>
      <c r="U51" s="1226"/>
      <c r="V51" s="1226"/>
      <c r="W51" s="1226"/>
      <c r="X51" s="1226"/>
      <c r="Y51" s="1226"/>
      <c r="Z51" s="1226"/>
      <c r="AA51" s="1226"/>
      <c r="AB51" s="1226"/>
      <c r="AC51" s="1226"/>
      <c r="AD51" s="1226"/>
      <c r="AE51" s="1226"/>
      <c r="AF51" s="1226"/>
      <c r="AG51" s="1226"/>
      <c r="AH51" s="1226"/>
      <c r="AI51" s="1226"/>
      <c r="AJ51" s="1226"/>
      <c r="AK51" s="1226"/>
      <c r="AL51" s="950"/>
      <c r="AM51" s="2881"/>
      <c r="AO51" s="2250"/>
      <c r="AP51" s="2250" t="str">
        <f>IF(T51="","",T51)</f>
        <v>Добавить вид теплоносителя (параметры теплоносителя)</v>
      </c>
      <c r="AQ51" s="2250"/>
      <c r="AR51" s="2250"/>
      <c r="AS51" s="2257">
        <v>11</v>
      </c>
    </row>
    <row customHeight="1" ht="11.549999999999999">
      <c r="A52" s="1893" t="s">
        <v>230</v>
      </c>
      <c r="B52" s="1893" t="s">
        <v>231</v>
      </c>
      <c r="C52" s="1893" t="s">
        <v>232</v>
      </c>
      <c r="D52" s="1893" t="s">
        <v>233</v>
      </c>
      <c r="E52" s="2916"/>
      <c r="F52" s="2916"/>
      <c r="G52" s="2916"/>
      <c r="H52" s="2916"/>
      <c r="I52" s="2753"/>
      <c r="J52" s="1893"/>
      <c r="K52" s="1893"/>
      <c r="L52" s="1936"/>
      <c r="P52" s="2883"/>
      <c r="Q52" s="2580"/>
      <c r="R52" s="982"/>
      <c r="S52" s="1904"/>
      <c r="T52" s="913" t="s">
        <v>430</v>
      </c>
      <c r="U52" s="1226"/>
      <c r="V52" s="1226"/>
      <c r="W52" s="1226"/>
      <c r="X52" s="1226"/>
      <c r="Y52" s="1226"/>
      <c r="Z52" s="1226"/>
      <c r="AA52" s="1226"/>
      <c r="AB52" s="1226"/>
      <c r="AC52" s="992"/>
      <c r="AD52" s="1226"/>
      <c r="AE52" s="1226"/>
      <c r="AF52" s="1226"/>
      <c r="AG52" s="1226"/>
      <c r="AH52" s="1226"/>
      <c r="AI52" s="1226"/>
      <c r="AJ52" s="1226"/>
      <c r="AK52" s="992"/>
      <c r="AL52" s="1226"/>
      <c r="AM52" s="929"/>
      <c r="AO52" s="2250"/>
      <c r="AP52" s="2250" t="str">
        <f>IF(T52="","",T52)</f>
        <v>Добавить группу потребителей</v>
      </c>
      <c r="AQ52" s="2250"/>
      <c r="AR52" s="2250"/>
      <c r="AS52" s="2257">
        <v>11</v>
      </c>
    </row>
    <row customHeight="1" ht="14.699999999999998">
      <c r="A53" s="1893" t="s">
        <v>230</v>
      </c>
      <c r="B53" s="1893" t="s">
        <v>231</v>
      </c>
      <c r="C53" s="1893" t="s">
        <v>232</v>
      </c>
      <c r="D53" s="1893" t="s">
        <v>233</v>
      </c>
      <c r="E53" s="2916"/>
      <c r="F53" s="2916"/>
      <c r="G53" s="2916"/>
      <c r="H53" s="2915"/>
      <c r="I53" s="1893"/>
      <c r="J53" s="1893"/>
      <c r="K53" s="1893"/>
      <c r="L53" s="1936"/>
      <c r="M53" s="2236"/>
      <c r="N53" s="2236"/>
      <c r="O53" s="2261"/>
      <c r="P53" s="986"/>
      <c r="Q53" s="1001"/>
      <c r="R53" s="981"/>
      <c r="S53" s="1904"/>
      <c r="T53" s="991" t="s">
        <v>431</v>
      </c>
      <c r="U53" s="1226"/>
      <c r="V53" s="1226"/>
      <c r="W53" s="1226"/>
      <c r="X53" s="1226"/>
      <c r="Y53" s="1226"/>
      <c r="Z53" s="1226"/>
      <c r="AA53" s="1226"/>
      <c r="AB53" s="1226"/>
      <c r="AC53" s="992"/>
      <c r="AD53" s="1226"/>
      <c r="AE53" s="1226"/>
      <c r="AF53" s="1226"/>
      <c r="AG53" s="1226"/>
      <c r="AH53" s="1226"/>
      <c r="AI53" s="1226"/>
      <c r="AJ53" s="1226"/>
      <c r="AK53" s="992"/>
      <c r="AL53" s="1226"/>
      <c r="AM53" s="929"/>
      <c r="AO53" s="2250"/>
      <c r="AP53" s="2250" t="str">
        <f>IF(T53="","",T53)</f>
        <v>Добавить схему подключения</v>
      </c>
      <c r="AQ53" s="2250"/>
      <c r="AR53" s="2250"/>
      <c r="AS53" s="2257">
        <v>14</v>
      </c>
    </row>
    <row s="34658" customFormat="1" customHeight="1" ht="1.05">
      <c r="A54" s="1893" t="s">
        <v>230</v>
      </c>
      <c r="B54" s="1893" t="s">
        <v>231</v>
      </c>
      <c r="C54" s="1893" t="s">
        <v>232</v>
      </c>
      <c r="D54" s="2600"/>
      <c r="E54" s="2916"/>
      <c r="F54" s="2916"/>
      <c r="G54" s="2915"/>
      <c r="H54" s="2600"/>
      <c r="I54" s="2600"/>
      <c r="J54" s="2600"/>
      <c r="K54" s="2600"/>
      <c r="L54" s="2006"/>
      <c r="M54" s="2236"/>
      <c r="N54" s="2236"/>
      <c r="O54" s="2261"/>
      <c r="P54" s="1942"/>
      <c r="Q54" s="1943"/>
      <c r="R54" s="1942"/>
      <c r="S54" s="1948"/>
      <c r="T54" s="1951" t="s">
        <v>432</v>
      </c>
      <c r="U54" s="1950"/>
      <c r="V54" s="1950"/>
      <c r="W54" s="1950"/>
      <c r="X54" s="1950"/>
      <c r="Y54" s="1950"/>
      <c r="Z54" s="1950"/>
      <c r="AA54" s="1950"/>
      <c r="AB54" s="1950"/>
      <c r="AC54" s="1950"/>
      <c r="AD54" s="1950"/>
      <c r="AE54" s="1950"/>
      <c r="AF54" s="1950"/>
      <c r="AG54" s="1950"/>
      <c r="AH54" s="1950"/>
      <c r="AI54" s="1950"/>
      <c r="AJ54" s="1950"/>
      <c r="AK54" s="1950"/>
      <c r="AL54" s="1950"/>
      <c r="AM54" s="1950"/>
      <c r="AO54" s="1877"/>
      <c r="AP54" s="1877" t="str">
        <f>IF(T54="","",T54)</f>
        <v>Добавить источник для дифференциации</v>
      </c>
      <c r="AQ54" s="1877"/>
      <c r="AR54" s="1877"/>
      <c r="AS54" s="2268">
        <v>1</v>
      </c>
    </row>
    <row s="34658" customFormat="1" customHeight="1" ht="1.05">
      <c r="A55" s="1893" t="s">
        <v>230</v>
      </c>
      <c r="B55" s="1893" t="s">
        <v>231</v>
      </c>
      <c r="C55" s="2600"/>
      <c r="D55" s="2600"/>
      <c r="E55" s="2916"/>
      <c r="F55" s="2915"/>
      <c r="G55" s="2600"/>
      <c r="H55" s="2600"/>
      <c r="I55" s="2600"/>
      <c r="J55" s="2600"/>
      <c r="K55" s="2600"/>
      <c r="L55" s="2006"/>
      <c r="M55" s="2601"/>
      <c r="N55" s="2601"/>
      <c r="O55" s="2261"/>
      <c r="P55" s="1942"/>
      <c r="Q55" s="1943"/>
      <c r="R55" s="1942"/>
      <c r="S55" s="1948"/>
      <c r="T55" s="1951" t="s">
        <v>433</v>
      </c>
      <c r="U55" s="1950"/>
      <c r="V55" s="1950"/>
      <c r="W55" s="1950"/>
      <c r="X55" s="1950"/>
      <c r="Y55" s="1950"/>
      <c r="Z55" s="1950"/>
      <c r="AA55" s="1950"/>
      <c r="AB55" s="1950"/>
      <c r="AC55" s="1950"/>
      <c r="AD55" s="1950"/>
      <c r="AE55" s="1950"/>
      <c r="AF55" s="1950"/>
      <c r="AG55" s="1950"/>
      <c r="AH55" s="1950"/>
      <c r="AI55" s="1950"/>
      <c r="AJ55" s="1950"/>
      <c r="AK55" s="1950"/>
      <c r="AL55" s="1950"/>
      <c r="AM55" s="1950"/>
      <c r="AO55" s="1877"/>
      <c r="AP55" s="1877" t="str">
        <f>IF(T55="","",T55)</f>
        <v>Добавить централизованную систему для дифференциации</v>
      </c>
      <c r="AQ55" s="1877"/>
      <c r="AR55" s="1877"/>
      <c r="AS55" s="2268">
        <v>1</v>
      </c>
    </row>
    <row s="34658" customFormat="1" customHeight="1" ht="1.05">
      <c r="A56" s="1893" t="s">
        <v>230</v>
      </c>
      <c r="B56" s="1893"/>
      <c r="C56" s="1893"/>
      <c r="D56" s="1893"/>
      <c r="E56" s="2915"/>
      <c r="F56" s="1893"/>
      <c r="G56" s="1893"/>
      <c r="H56" s="1893"/>
      <c r="I56" s="1893"/>
      <c r="J56" s="1893"/>
      <c r="K56" s="1893"/>
      <c r="L56" s="1936"/>
      <c r="M56" s="2601"/>
      <c r="N56" s="2601"/>
      <c r="O56" s="2261"/>
      <c r="P56" s="1006"/>
      <c r="Q56" s="1970"/>
      <c r="R56" s="1006"/>
      <c r="S56" s="1948"/>
      <c r="T56" s="1951" t="s">
        <v>434</v>
      </c>
      <c r="U56" s="1950"/>
      <c r="V56" s="1950"/>
      <c r="W56" s="1950"/>
      <c r="X56" s="1950"/>
      <c r="Y56" s="1950"/>
      <c r="Z56" s="1950"/>
      <c r="AA56" s="1950"/>
      <c r="AB56" s="1950"/>
      <c r="AC56" s="1950"/>
      <c r="AD56" s="1950"/>
      <c r="AE56" s="1950"/>
      <c r="AF56" s="1950"/>
      <c r="AG56" s="1950"/>
      <c r="AH56" s="1950"/>
      <c r="AI56" s="1950"/>
      <c r="AJ56" s="1950"/>
      <c r="AK56" s="1950"/>
      <c r="AL56" s="1950"/>
      <c r="AM56" s="1950"/>
      <c r="AO56" s="2250"/>
      <c r="AP56" s="2250" t="str">
        <f>IF(T56="","",T56)</f>
        <v>Добавить территорию для дифференциации</v>
      </c>
      <c r="AQ56" s="2250"/>
      <c r="AR56" s="2250"/>
      <c r="AS56" s="2262">
        <v>1</v>
      </c>
    </row>
    <row s="34658" customFormat="1" customHeight="1" ht="1.05">
      <c r="A57" s="2600"/>
      <c r="B57" s="2600"/>
      <c r="C57" s="2600"/>
      <c r="D57" s="2600"/>
      <c r="E57" s="1893"/>
      <c r="F57" s="2600"/>
      <c r="G57" s="2600"/>
      <c r="H57" s="2600"/>
      <c r="I57" s="2600"/>
      <c r="J57" s="2600"/>
      <c r="K57" s="2600"/>
      <c r="L57" s="2006"/>
      <c r="M57" s="2601"/>
      <c r="N57" s="2601"/>
      <c r="O57" s="2261"/>
      <c r="P57" s="1942"/>
      <c r="Q57" s="1943"/>
      <c r="R57" s="1942"/>
      <c r="S57" s="1948"/>
      <c r="T57" s="1951" t="s">
        <v>466</v>
      </c>
      <c r="U57" s="1950"/>
      <c r="V57" s="1950"/>
      <c r="W57" s="1950"/>
      <c r="X57" s="1950"/>
      <c r="Y57" s="1950"/>
      <c r="Z57" s="1950"/>
      <c r="AA57" s="1950"/>
      <c r="AB57" s="1950"/>
      <c r="AC57" s="1950"/>
      <c r="AD57" s="1950"/>
      <c r="AE57" s="1950"/>
      <c r="AF57" s="1950"/>
      <c r="AG57" s="1950"/>
      <c r="AH57" s="1950"/>
      <c r="AI57" s="1950"/>
      <c r="AJ57" s="1950"/>
      <c r="AK57" s="1950"/>
      <c r="AL57" s="1950"/>
      <c r="AM57" s="1950"/>
      <c r="AO57" s="1877"/>
      <c r="AP57" s="1877" t="str">
        <f>IF(T57="","",T57)</f>
        <v>Добавить наименование тарифа</v>
      </c>
      <c r="AQ57" s="1877"/>
      <c r="AR57" s="1877"/>
      <c r="AS57" s="2268">
        <v>1</v>
      </c>
    </row>
    <row customHeight="1" ht="11.549999999999999">
      <c r="M58" s="2257"/>
      <c r="N58" s="2257"/>
      <c r="O58" s="2261"/>
      <c r="P58" s="2257"/>
      <c r="Q58" s="2257"/>
      <c r="R58" s="2257"/>
      <c r="S58" s="2257"/>
      <c r="AN58" s="2257"/>
      <c r="AO58" s="2257"/>
      <c r="AP58" s="2257"/>
      <c r="AQ58" s="2257"/>
      <c r="AR58" s="2257"/>
      <c r="AS58" s="2257">
        <v>11</v>
      </c>
    </row>
    <row customHeight="1" ht="28.5">
      <c r="O59" s="2261"/>
      <c r="S59" s="1879"/>
      <c r="T59" s="2911"/>
      <c r="U59" s="2911"/>
      <c r="V59" s="2911"/>
      <c r="W59" s="2911"/>
      <c r="X59" s="2911"/>
      <c r="Y59" s="2911"/>
      <c r="Z59" s="2911"/>
      <c r="AA59" s="2911"/>
      <c r="AB59" s="2911"/>
      <c r="AC59" s="2911"/>
      <c r="AD59" s="2911"/>
      <c r="AE59" s="2911"/>
      <c r="AF59" s="2911"/>
      <c r="AG59" s="2911"/>
      <c r="AH59" s="2911"/>
      <c r="AI59" s="2911"/>
      <c r="AJ59" s="2911"/>
      <c r="AK59" s="2911"/>
      <c r="AL59" s="2911"/>
      <c r="AM59" s="2911"/>
      <c r="AS59" s="2257">
        <v>27</v>
      </c>
    </row>
    <row customHeight="1" ht="65.25">
      <c r="O60" s="2261"/>
      <c r="T60" s="2911"/>
      <c r="U60" s="2911"/>
      <c r="V60" s="2911"/>
      <c r="W60" s="2911"/>
      <c r="X60" s="2911"/>
      <c r="Y60" s="2911"/>
      <c r="Z60" s="2911"/>
      <c r="AA60" s="2911"/>
      <c r="AB60" s="2911"/>
      <c r="AC60" s="2911"/>
      <c r="AD60" s="2911"/>
      <c r="AE60" s="2911"/>
      <c r="AF60" s="2911"/>
      <c r="AG60" s="2911"/>
      <c r="AH60" s="2911"/>
      <c r="AI60" s="2911"/>
      <c r="AJ60" s="2911"/>
      <c r="AK60" s="2911"/>
      <c r="AL60" s="2911"/>
      <c r="AM60" s="2911"/>
      <c r="AS60" s="2257">
        <v>62</v>
      </c>
    </row>
    <row customHeight="1" ht="14.699999999999998">
      <c r="O61" s="2261"/>
      <c r="AS61" s="2257">
        <v>14</v>
      </c>
    </row>
    <row customHeight="1" ht="18.75">
      <c r="O62" s="2261"/>
      <c r="S62" s="1879"/>
      <c r="T62" s="2911"/>
      <c r="U62" s="2911"/>
      <c r="V62" s="2911"/>
      <c r="W62" s="2911"/>
      <c r="X62" s="2911"/>
      <c r="Y62" s="2911"/>
      <c r="Z62" s="2911"/>
      <c r="AA62" s="2911"/>
      <c r="AB62" s="2911"/>
      <c r="AC62" s="2911"/>
      <c r="AD62" s="2911"/>
      <c r="AE62" s="2911"/>
      <c r="AF62" s="2911"/>
      <c r="AG62" s="2911"/>
      <c r="AH62" s="2911"/>
      <c r="AI62" s="2911"/>
      <c r="AJ62" s="2911"/>
      <c r="AK62" s="2911"/>
      <c r="AL62" s="2911"/>
      <c r="AM62" s="2911"/>
      <c r="AS62" s="2257">
        <v>18</v>
      </c>
    </row>
    <row customHeight="1" ht="18.75">
      <c r="O63" s="2261"/>
      <c r="T63" s="2911"/>
      <c r="U63" s="2911"/>
      <c r="V63" s="2911"/>
      <c r="W63" s="2911"/>
      <c r="X63" s="2911"/>
      <c r="Y63" s="2911"/>
      <c r="Z63" s="2911"/>
      <c r="AA63" s="2911"/>
      <c r="AB63" s="2911"/>
      <c r="AC63" s="2911"/>
      <c r="AD63" s="2911"/>
      <c r="AE63" s="2911"/>
      <c r="AF63" s="2911"/>
      <c r="AG63" s="2911"/>
      <c r="AH63" s="2911"/>
      <c r="AI63" s="2911"/>
      <c r="AJ63" s="2911"/>
      <c r="AK63" s="2911"/>
      <c r="AL63" s="2911"/>
      <c r="AM63" s="2911"/>
      <c r="AS63" s="2257">
        <v>18</v>
      </c>
    </row>
    <row customHeight="1" ht="29.25">
      <c r="O64" s="2261"/>
      <c r="S64" s="1879"/>
      <c r="T64" s="2911"/>
      <c r="U64" s="2911"/>
      <c r="V64" s="2911"/>
      <c r="W64" s="2911"/>
      <c r="X64" s="2911"/>
      <c r="Y64" s="2911"/>
      <c r="Z64" s="2911"/>
      <c r="AA64" s="2911"/>
      <c r="AB64" s="2911"/>
      <c r="AC64" s="2911"/>
      <c r="AD64" s="2911"/>
      <c r="AE64" s="2911"/>
      <c r="AF64" s="2911"/>
      <c r="AG64" s="2911"/>
      <c r="AH64" s="2911"/>
      <c r="AI64" s="2911"/>
      <c r="AJ64" s="2911"/>
      <c r="AK64" s="2911"/>
      <c r="AL64" s="2911"/>
      <c r="AM64" s="2911"/>
      <c r="AS64" s="2257">
        <v>28</v>
      </c>
    </row>
    <row customHeight="1" ht="22.5" hidden="1">
      <c r="A65" s="2257" t="s">
        <v>82</v>
      </c>
      <c r="B65" s="2257">
        <v>0</v>
      </c>
      <c r="C65" s="2257">
        <v>0</v>
      </c>
      <c r="D65" s="2257">
        <v>0</v>
      </c>
      <c r="E65" s="2257">
        <v>0</v>
      </c>
      <c r="F65" s="2257">
        <v>0</v>
      </c>
      <c r="G65" s="2257">
        <v>0</v>
      </c>
      <c r="H65" s="2257">
        <v>0</v>
      </c>
      <c r="I65" s="2257">
        <v>0</v>
      </c>
      <c r="J65" s="2257">
        <v>0</v>
      </c>
      <c r="K65" s="2257">
        <v>0</v>
      </c>
      <c r="L65" s="2565">
        <v>0</v>
      </c>
      <c r="M65" s="2591">
        <v>0</v>
      </c>
      <c r="N65" s="2591">
        <v>0</v>
      </c>
      <c r="O65" s="2591">
        <v>0</v>
      </c>
      <c r="P65" s="2591">
        <v>3</v>
      </c>
      <c r="Q65" s="970">
        <v>3</v>
      </c>
      <c r="R65" s="970">
        <v>3</v>
      </c>
      <c r="S65" s="1207">
        <v>12</v>
      </c>
      <c r="T65" s="2257">
        <v>31</v>
      </c>
      <c r="U65" s="2257">
        <v>0</v>
      </c>
      <c r="V65" s="2257">
        <v>0</v>
      </c>
      <c r="W65" s="2257">
        <v>0</v>
      </c>
      <c r="X65" s="2257">
        <v>0</v>
      </c>
      <c r="Y65" s="2257">
        <v>0</v>
      </c>
      <c r="Z65" s="2257">
        <v>0</v>
      </c>
      <c r="AA65" s="2257">
        <v>0</v>
      </c>
      <c r="AB65" s="2257">
        <v>0</v>
      </c>
      <c r="AC65" s="2257">
        <v>0</v>
      </c>
      <c r="AD65" s="2257">
        <v>24</v>
      </c>
      <c r="AE65" s="2257">
        <v>0</v>
      </c>
      <c r="AF65" s="2257">
        <v>24</v>
      </c>
      <c r="AG65" s="2257">
        <v>24</v>
      </c>
      <c r="AH65" s="2257">
        <v>11</v>
      </c>
      <c r="AI65" s="2257">
        <v>3</v>
      </c>
      <c r="AJ65" s="2257">
        <v>11</v>
      </c>
      <c r="AK65" s="2257">
        <v>0</v>
      </c>
      <c r="AL65" s="2257">
        <v>4</v>
      </c>
      <c r="AM65" s="2257">
        <v>115</v>
      </c>
      <c r="AN65" s="2262">
        <v>10</v>
      </c>
      <c r="AO65" s="2262">
        <v>10</v>
      </c>
      <c r="AP65" s="2262">
        <v>10</v>
      </c>
      <c r="AQ65" s="2262">
        <v>10</v>
      </c>
      <c r="AR65" s="2262">
        <v>10</v>
      </c>
      <c r="AS65" s="2257">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778D94-68D5-1B64-EA4D-3A9AB27C502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2.00390625" hidden="1" customWidth="1"/>
    <col min="10" max="10" style="34657" width="9.8515625" hidden="1" customWidth="1"/>
    <col min="11" max="11" style="34657" width="11.4218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1.00390625" customWidth="1"/>
    <col min="21" max="21" style="34580" width="0.7109375" hidden="1" customWidth="1"/>
    <col min="22" max="22" style="34580" width="1.7109375" hidden="1" customWidth="1"/>
    <col min="23" max="23" style="34580" width="24.7109375" hidden="1" customWidth="1"/>
    <col min="24" max="25" style="34580" width="0.14062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0.140625" customWidth="1"/>
    <col min="31" max="31" style="34580" width="24.00390625" customWidth="1"/>
    <col min="32" max="33" style="34580" width="0.140625" customWidth="1"/>
    <col min="34" max="34" style="34580" width="11.00390625" customWidth="1"/>
    <col min="35" max="35" style="34580" width="3.7109375" customWidth="1"/>
    <col min="36" max="36" style="34580" width="11.00390625" customWidth="1"/>
    <col min="37" max="37" style="34580" width="8.57421875" hidden="1" customWidth="1"/>
    <col min="38" max="38" style="34580" width="4.00390625" customWidth="1"/>
    <col min="39" max="39" style="34580" width="115.00390625" customWidth="1"/>
    <col min="40" max="44" style="34658" width="10.00390625" customWidth="1"/>
    <col min="45" max="45" style="34580" width="10.57421875" hidden="1"/>
  </cols>
  <sheetData>
    <row customHeight="1" ht="22.5" hidden="1">
      <c r="Y1" s="953"/>
      <c r="Z1" s="953"/>
      <c r="AG1" s="953"/>
      <c r="AH1" s="953"/>
      <c r="AS1" s="1781" t="s">
        <v>14</v>
      </c>
    </row>
    <row customHeight="1" ht="21" hidden="1">
      <c r="A2" s="1989"/>
      <c r="B2" s="1989"/>
      <c r="C2" s="1989"/>
      <c r="D2" s="1989"/>
      <c r="E2" s="2884">
        <v>1</v>
      </c>
      <c r="F2" s="1989"/>
      <c r="G2" s="1989"/>
      <c r="H2" s="1989"/>
      <c r="I2" s="1989"/>
      <c r="J2" s="1989"/>
      <c r="K2" s="1989"/>
      <c r="L2" s="1990"/>
      <c r="M2" s="1991"/>
      <c r="N2" s="1991"/>
      <c r="O2" s="1991"/>
      <c r="P2" s="987"/>
      <c r="Q2" s="986"/>
      <c r="R2" s="981"/>
      <c r="S2" s="1962">
        <f>INDEX(PT_DIFFERENTIATION_NUM_NTAR,MATCH(A2,PT_DIFFERENTIATION_NTAR_ID,0))</f>
      </c>
      <c r="T2" s="924" t="s">
        <v>143</v>
      </c>
      <c r="U2" s="926"/>
      <c r="V2" s="2868"/>
      <c r="W2" s="2869"/>
      <c r="X2" s="2869"/>
      <c r="Y2" s="2869"/>
      <c r="Z2" s="2869"/>
      <c r="AA2" s="2869"/>
      <c r="AB2" s="2869"/>
      <c r="AC2" s="2870"/>
      <c r="AD2" s="2868">
        <f>INDEX(PT_DIFFERENTIATION_NTAR,MATCH(A2,PT_DIFFERENTIATION_NTAR_ID,0))</f>
      </c>
      <c r="AE2" s="2869"/>
      <c r="AF2" s="2869"/>
      <c r="AG2" s="2869"/>
      <c r="AH2" s="2869"/>
      <c r="AI2" s="2869"/>
      <c r="AJ2" s="2869"/>
      <c r="AK2" s="2869"/>
      <c r="AL2" s="2870"/>
      <c r="AM2" s="1884" t="s">
        <v>414</v>
      </c>
      <c r="AO2" s="1126"/>
      <c r="AP2" s="1126" t="str">
        <f>IF(T2="","",T2)</f>
        <v>Наименование тарифа</v>
      </c>
      <c r="AQ2" s="1126"/>
      <c r="AR2" s="1126"/>
      <c r="AS2" s="1781">
        <v>0</v>
      </c>
    </row>
    <row customHeight="1" ht="21" hidden="1">
      <c r="A3" s="1989"/>
      <c r="B3" s="1989"/>
      <c r="C3" s="1989"/>
      <c r="D3" s="1989"/>
      <c r="E3" s="2885"/>
      <c r="F3" s="2884">
        <v>1</v>
      </c>
      <c r="G3" s="1989"/>
      <c r="H3" s="1989"/>
      <c r="I3" s="1989"/>
      <c r="J3" s="1989"/>
      <c r="K3" s="1989"/>
      <c r="L3" s="1990"/>
      <c r="M3" s="1991"/>
      <c r="N3" s="1991"/>
      <c r="O3" s="1991"/>
      <c r="P3" s="1958"/>
      <c r="Q3" s="978"/>
      <c r="R3" s="979"/>
      <c r="S3" s="1962">
        <f>INDEX(PT_DIFFERENTIATION_NUM_TER,MATCH(B3,PT_DIFFERENTIATION_TER_ID,0))</f>
      </c>
      <c r="T3" s="934" t="s">
        <v>415</v>
      </c>
      <c r="U3" s="926"/>
      <c r="V3" s="2868"/>
      <c r="W3" s="2869"/>
      <c r="X3" s="2869"/>
      <c r="Y3" s="2869"/>
      <c r="Z3" s="2869"/>
      <c r="AA3" s="2869"/>
      <c r="AB3" s="2869"/>
      <c r="AC3" s="2870"/>
      <c r="AD3" s="2868">
        <f>INDEX(PT_DIFFERENTIATION_TER,MATCH(B3,PT_DIFFERENTIATION_TER_ID,0))</f>
      </c>
      <c r="AE3" s="2869"/>
      <c r="AF3" s="2869"/>
      <c r="AG3" s="2869"/>
      <c r="AH3" s="2869"/>
      <c r="AI3" s="2869"/>
      <c r="AJ3" s="2869"/>
      <c r="AK3" s="2869"/>
      <c r="AL3" s="2870"/>
      <c r="AM3" s="1884" t="s">
        <v>416</v>
      </c>
      <c r="AO3" s="1126"/>
      <c r="AP3" s="1126" t="str">
        <f>IF(T3="","",T3)</f>
        <v>Территория действия тарифа</v>
      </c>
      <c r="AQ3" s="1126"/>
      <c r="AR3" s="1126"/>
      <c r="AS3" s="1781">
        <v>0</v>
      </c>
    </row>
    <row customHeight="1" ht="23.25" hidden="1">
      <c r="A4" s="1989"/>
      <c r="B4" s="1989"/>
      <c r="C4" s="1989"/>
      <c r="D4" s="1989"/>
      <c r="E4" s="2885"/>
      <c r="F4" s="2885"/>
      <c r="G4" s="2884">
        <v>1</v>
      </c>
      <c r="H4" s="1989"/>
      <c r="I4" s="1989"/>
      <c r="J4" s="1989"/>
      <c r="K4" s="1989"/>
      <c r="L4" s="1990"/>
      <c r="M4" s="1991"/>
      <c r="N4" s="1991"/>
      <c r="O4" s="1991"/>
      <c r="P4" s="980"/>
      <c r="Q4" s="978"/>
      <c r="R4" s="979"/>
      <c r="S4" s="1962">
        <f>INDEX(PT_DIFFERENTIATION_NUM_CS,MATCH(C4,PT_DIFFERENTIATION_CS_ID,0))</f>
      </c>
      <c r="T4" s="935" t="s">
        <v>417</v>
      </c>
      <c r="U4" s="926"/>
      <c r="V4" s="2868"/>
      <c r="W4" s="2869"/>
      <c r="X4" s="2869"/>
      <c r="Y4" s="2869"/>
      <c r="Z4" s="2869"/>
      <c r="AA4" s="2869"/>
      <c r="AB4" s="2869"/>
      <c r="AC4" s="2870"/>
      <c r="AD4" s="2868">
        <f>INDEX(PT_DIFFERENTIATION_CS,MATCH(C4,PT_DIFFERENTIATION_CS_ID,0))</f>
      </c>
      <c r="AE4" s="2869"/>
      <c r="AF4" s="2869"/>
      <c r="AG4" s="2869"/>
      <c r="AH4" s="2869"/>
      <c r="AI4" s="2869"/>
      <c r="AJ4" s="2869"/>
      <c r="AK4" s="2869"/>
      <c r="AL4" s="2870"/>
      <c r="AM4" s="1884" t="s">
        <v>418</v>
      </c>
      <c r="AO4" s="1126"/>
      <c r="AP4" s="1126" t="str">
        <f>IF(T4="","",T4)</f>
        <v>Наименование системы теплоснабжения </v>
      </c>
      <c r="AQ4" s="1126"/>
      <c r="AR4" s="1126"/>
      <c r="AS4" s="1781">
        <v>0</v>
      </c>
    </row>
    <row customHeight="1" ht="21" hidden="1">
      <c r="A5" s="1989"/>
      <c r="B5" s="1989"/>
      <c r="C5" s="1989"/>
      <c r="D5" s="1989"/>
      <c r="E5" s="2885"/>
      <c r="F5" s="2885"/>
      <c r="G5" s="2885"/>
      <c r="H5" s="2884">
        <v>1</v>
      </c>
      <c r="I5" s="1989"/>
      <c r="J5" s="1989"/>
      <c r="K5" s="1989"/>
      <c r="L5" s="1990"/>
      <c r="M5" s="1991"/>
      <c r="N5" s="1991"/>
      <c r="O5" s="1991"/>
      <c r="P5" s="980"/>
      <c r="Q5" s="978"/>
      <c r="R5" s="979"/>
      <c r="S5" s="1962">
        <f>INDEX(PT_DIFFERENTIATION_NUM_IST_TE,MATCH(D5,PT_DIFFERENTIATION_IST_TE_ID,0))</f>
      </c>
      <c r="T5" s="936" t="s">
        <v>419</v>
      </c>
      <c r="U5" s="926"/>
      <c r="V5" s="2868"/>
      <c r="W5" s="2869"/>
      <c r="X5" s="2869"/>
      <c r="Y5" s="2869"/>
      <c r="Z5" s="2869"/>
      <c r="AA5" s="2869"/>
      <c r="AB5" s="2869"/>
      <c r="AC5" s="2870"/>
      <c r="AD5" s="2868">
        <f>INDEX(PT_DIFFERENTIATION_IST_TE,MATCH(D5,PT_DIFFERENTIATION_IST_TE_ID,0))</f>
      </c>
      <c r="AE5" s="2869"/>
      <c r="AF5" s="2869"/>
      <c r="AG5" s="2869"/>
      <c r="AH5" s="2869"/>
      <c r="AI5" s="2869"/>
      <c r="AJ5" s="2869"/>
      <c r="AK5" s="2869"/>
      <c r="AL5" s="2870"/>
      <c r="AM5" s="1884" t="s">
        <v>420</v>
      </c>
      <c r="AO5" s="1126"/>
      <c r="AP5" s="1126" t="str">
        <f>IF(T5="","",T5)</f>
        <v>Источник тепловой энергии  </v>
      </c>
      <c r="AQ5" s="1126"/>
      <c r="AR5" s="1126"/>
      <c r="AS5" s="1781">
        <v>0</v>
      </c>
    </row>
    <row customHeight="1" ht="47.25" hidden="1">
      <c r="A6" s="1989"/>
      <c r="B6" s="1989"/>
      <c r="C6" s="1989"/>
      <c r="D6" s="1989"/>
      <c r="E6" s="2885"/>
      <c r="F6" s="2885"/>
      <c r="G6" s="2885"/>
      <c r="H6" s="2885"/>
      <c r="I6" s="2882">
        <f>S5&amp;".1"</f>
      </c>
      <c r="J6" s="1989"/>
      <c r="K6" s="1989"/>
      <c r="L6" s="1990" t="s">
        <v>421</v>
      </c>
      <c r="M6" s="1163"/>
      <c r="P6" s="2883">
        <v>1</v>
      </c>
      <c r="Q6" s="1957"/>
      <c r="R6" s="982"/>
      <c r="S6" s="1962">
        <f>$I6</f>
      </c>
      <c r="T6" s="911" t="s">
        <v>422</v>
      </c>
      <c r="U6" s="926"/>
      <c r="V6" s="2871"/>
      <c r="W6" s="2872"/>
      <c r="X6" s="2872"/>
      <c r="Y6" s="2872"/>
      <c r="Z6" s="2872"/>
      <c r="AA6" s="2872"/>
      <c r="AB6" s="2872"/>
      <c r="AC6" s="2873"/>
      <c r="AD6" s="2871"/>
      <c r="AE6" s="2872"/>
      <c r="AF6" s="2872"/>
      <c r="AG6" s="2872"/>
      <c r="AH6" s="2872"/>
      <c r="AI6" s="2872"/>
      <c r="AJ6" s="2872"/>
      <c r="AK6" s="2872"/>
      <c r="AL6" s="2873"/>
      <c r="AM6" s="1884" t="s">
        <v>423</v>
      </c>
      <c r="AO6" s="1126"/>
      <c r="AP6" s="1126" t="str">
        <f>IF(T6="","",T6)</f>
        <v>Схема подключения теплопотребляющей установки к коллектору источника тепловой энергии</v>
      </c>
      <c r="AQ6" s="1126"/>
      <c r="AR6" s="1126"/>
      <c r="AS6" s="1781">
        <v>0</v>
      </c>
    </row>
    <row customHeight="1" ht="21" hidden="1">
      <c r="A7" s="1989"/>
      <c r="B7" s="1989"/>
      <c r="C7" s="1989"/>
      <c r="D7" s="1989"/>
      <c r="E7" s="2885"/>
      <c r="F7" s="2885"/>
      <c r="G7" s="2885"/>
      <c r="H7" s="2885"/>
      <c r="I7" s="2912"/>
      <c r="J7" s="2882">
        <f>I6&amp;".1"</f>
      </c>
      <c r="K7" s="1989"/>
      <c r="L7" s="1990" t="s">
        <v>424</v>
      </c>
      <c r="M7" s="1163"/>
      <c r="N7" s="1992"/>
      <c r="P7" s="2883"/>
      <c r="Q7" s="2883">
        <v>1</v>
      </c>
      <c r="R7" s="983"/>
      <c r="S7" s="1962">
        <f>$J7</f>
      </c>
      <c r="T7" s="912" t="s">
        <v>425</v>
      </c>
      <c r="U7" s="926"/>
      <c r="V7" s="2871"/>
      <c r="W7" s="2872"/>
      <c r="X7" s="2872"/>
      <c r="Y7" s="2872"/>
      <c r="Z7" s="2872"/>
      <c r="AA7" s="2872"/>
      <c r="AB7" s="2872"/>
      <c r="AC7" s="2873"/>
      <c r="AD7" s="2871"/>
      <c r="AE7" s="2872"/>
      <c r="AF7" s="2872"/>
      <c r="AG7" s="2872"/>
      <c r="AH7" s="2872"/>
      <c r="AI7" s="2872"/>
      <c r="AJ7" s="2872"/>
      <c r="AK7" s="2872"/>
      <c r="AL7" s="2873"/>
      <c r="AM7" s="1884" t="s">
        <v>426</v>
      </c>
      <c r="AO7" s="1126"/>
      <c r="AP7" s="1126" t="str">
        <f>IF(T7="","",T7)</f>
        <v>Группа потребителей</v>
      </c>
      <c r="AQ7" s="1126"/>
      <c r="AR7" s="1126"/>
      <c r="AS7" s="1781">
        <v>0</v>
      </c>
    </row>
    <row customHeight="1" ht="21" hidden="1">
      <c r="A8" s="1989"/>
      <c r="B8" s="1989"/>
      <c r="C8" s="1989"/>
      <c r="D8" s="1989"/>
      <c r="E8" s="2885"/>
      <c r="F8" s="2885"/>
      <c r="G8" s="2885"/>
      <c r="H8" s="2885"/>
      <c r="I8" s="2912"/>
      <c r="J8" s="2912"/>
      <c r="K8" s="2882">
        <f>J7&amp;".1"</f>
      </c>
      <c r="L8" s="1990" t="s">
        <v>427</v>
      </c>
      <c r="M8" s="1163"/>
      <c r="N8" s="1992"/>
      <c r="O8" s="1992"/>
      <c r="P8" s="2883"/>
      <c r="Q8" s="2883"/>
      <c r="R8" s="983">
        <v>1</v>
      </c>
      <c r="S8" s="1962">
        <f>$K8</f>
      </c>
      <c r="T8" s="1973"/>
      <c r="U8" s="926"/>
      <c r="V8" s="951"/>
      <c r="W8" s="1377"/>
      <c r="X8" s="951"/>
      <c r="Y8" s="1010"/>
      <c r="Z8" s="2891"/>
      <c r="AA8" s="2733" t="s">
        <v>66</v>
      </c>
      <c r="AB8" s="2891"/>
      <c r="AC8" s="2733" t="s">
        <v>66</v>
      </c>
      <c r="AD8" s="951"/>
      <c r="AE8" s="1377"/>
      <c r="AF8" s="951"/>
      <c r="AG8" s="1010"/>
      <c r="AH8" s="2891"/>
      <c r="AI8" s="2733" t="s">
        <v>66</v>
      </c>
      <c r="AJ8" s="2891"/>
      <c r="AK8" s="2733" t="s">
        <v>66</v>
      </c>
      <c r="AL8" s="951"/>
      <c r="AM8" s="2879" t="s">
        <v>428</v>
      </c>
      <c r="AN8" s="1137">
        <f>STRCHECKDATE(V9:AL9)</f>
      </c>
      <c r="AO8" s="1126"/>
      <c r="AP8" s="1126" t="str">
        <f>IF(T8="","",T8)</f>
        <v/>
      </c>
      <c r="AQ8" s="1126"/>
      <c r="AR8" s="1126"/>
      <c r="AS8" s="1781">
        <v>0</v>
      </c>
    </row>
    <row customHeight="1" ht="0.75" hidden="1">
      <c r="A9" s="1989"/>
      <c r="B9" s="1989"/>
      <c r="C9" s="1989"/>
      <c r="D9" s="1989"/>
      <c r="E9" s="2885"/>
      <c r="F9" s="2885"/>
      <c r="G9" s="2885"/>
      <c r="H9" s="2885"/>
      <c r="I9" s="2912"/>
      <c r="J9" s="2912"/>
      <c r="K9" s="2882"/>
      <c r="L9" s="1990"/>
      <c r="M9" s="1163"/>
      <c r="N9" s="1992"/>
      <c r="O9" s="1992"/>
      <c r="P9" s="2883"/>
      <c r="Q9" s="2883"/>
      <c r="R9" s="983"/>
      <c r="S9" s="1968"/>
      <c r="T9" s="926"/>
      <c r="U9" s="926"/>
      <c r="V9" s="951"/>
      <c r="W9" s="951"/>
      <c r="X9" s="951"/>
      <c r="Y9" s="954" t="str">
        <f>Z8&amp;"-"&amp;AB8</f>
        <v>-</v>
      </c>
      <c r="Z9" s="2892"/>
      <c r="AA9" s="2733"/>
      <c r="AB9" s="2892"/>
      <c r="AC9" s="2733"/>
      <c r="AD9" s="951"/>
      <c r="AE9" s="951"/>
      <c r="AF9" s="951"/>
      <c r="AG9" s="954" t="str">
        <f>AH8&amp;"-"&amp;AJ8</f>
        <v>-</v>
      </c>
      <c r="AH9" s="2892"/>
      <c r="AI9" s="2733"/>
      <c r="AJ9" s="2892"/>
      <c r="AK9" s="2733"/>
      <c r="AL9" s="951"/>
      <c r="AM9" s="2880"/>
      <c r="AO9" s="1126"/>
      <c r="AP9" s="1126" t="str">
        <f>IF(T9="","",T9)</f>
        <v/>
      </c>
      <c r="AQ9" s="1126"/>
      <c r="AR9" s="1126"/>
      <c r="AS9" s="1781">
        <v>0</v>
      </c>
    </row>
    <row customHeight="1" ht="15" hidden="1">
      <c r="A10" s="1989"/>
      <c r="B10" s="1989"/>
      <c r="C10" s="1989"/>
      <c r="D10" s="1989"/>
      <c r="E10" s="2885"/>
      <c r="F10" s="2885"/>
      <c r="G10" s="2885"/>
      <c r="H10" s="2885"/>
      <c r="I10" s="2912"/>
      <c r="J10" s="2882"/>
      <c r="K10" s="1989"/>
      <c r="L10" s="1990"/>
      <c r="M10" s="1163"/>
      <c r="N10" s="1992"/>
      <c r="P10" s="2883"/>
      <c r="Q10" s="2883"/>
      <c r="R10" s="982"/>
      <c r="S10" s="1904"/>
      <c r="T10" s="914" t="s">
        <v>429</v>
      </c>
      <c r="U10" s="993"/>
      <c r="V10" s="993"/>
      <c r="W10" s="993"/>
      <c r="X10" s="993"/>
      <c r="Y10" s="993"/>
      <c r="Z10" s="993"/>
      <c r="AA10" s="993"/>
      <c r="AB10" s="993"/>
      <c r="AC10" s="993"/>
      <c r="AD10" s="993"/>
      <c r="AE10" s="993"/>
      <c r="AF10" s="993"/>
      <c r="AG10" s="993"/>
      <c r="AH10" s="993"/>
      <c r="AI10" s="993"/>
      <c r="AJ10" s="993"/>
      <c r="AK10" s="993"/>
      <c r="AL10" s="950"/>
      <c r="AM10" s="2881"/>
      <c r="AO10" s="1126"/>
      <c r="AP10" s="1126" t="str">
        <f>IF(T10="","",T10)</f>
        <v>Добавить вид теплоносителя (параметры теплоносителя)</v>
      </c>
      <c r="AQ10" s="1126"/>
      <c r="AR10" s="1126"/>
      <c r="AS10" s="1781">
        <v>0</v>
      </c>
    </row>
    <row customHeight="1" ht="15" hidden="1">
      <c r="A11" s="1989"/>
      <c r="B11" s="1989"/>
      <c r="C11" s="1989"/>
      <c r="D11" s="1989"/>
      <c r="E11" s="2885"/>
      <c r="F11" s="2885"/>
      <c r="G11" s="2885"/>
      <c r="H11" s="2885"/>
      <c r="I11" s="2882"/>
      <c r="J11" s="1989"/>
      <c r="K11" s="1989"/>
      <c r="L11" s="1990"/>
      <c r="M11" s="1163"/>
      <c r="P11" s="2883"/>
      <c r="Q11" s="1957"/>
      <c r="R11" s="982"/>
      <c r="S11" s="1904"/>
      <c r="T11" s="913" t="s">
        <v>430</v>
      </c>
      <c r="U11" s="993"/>
      <c r="V11" s="993"/>
      <c r="W11" s="993"/>
      <c r="X11" s="993"/>
      <c r="Y11" s="993"/>
      <c r="Z11" s="993"/>
      <c r="AA11" s="993"/>
      <c r="AB11" s="993"/>
      <c r="AC11" s="992"/>
      <c r="AD11" s="993"/>
      <c r="AE11" s="993"/>
      <c r="AF11" s="993"/>
      <c r="AG11" s="993"/>
      <c r="AH11" s="993"/>
      <c r="AI11" s="993"/>
      <c r="AJ11" s="993"/>
      <c r="AK11" s="992"/>
      <c r="AL11" s="993"/>
      <c r="AM11" s="929"/>
      <c r="AO11" s="1126"/>
      <c r="AP11" s="1126" t="str">
        <f>IF(T11="","",T11)</f>
        <v>Добавить группу потребителей</v>
      </c>
      <c r="AQ11" s="1126"/>
      <c r="AR11" s="1126"/>
      <c r="AS11" s="1781">
        <v>0</v>
      </c>
    </row>
    <row customHeight="1" ht="14.25" hidden="1">
      <c r="A12" s="1989"/>
      <c r="B12" s="1989"/>
      <c r="C12" s="1989"/>
      <c r="D12" s="1989"/>
      <c r="E12" s="2885"/>
      <c r="F12" s="2885"/>
      <c r="G12" s="2885"/>
      <c r="H12" s="2884"/>
      <c r="I12" s="1989"/>
      <c r="J12" s="1989"/>
      <c r="K12" s="1989"/>
      <c r="L12" s="1990"/>
      <c r="M12" s="1991"/>
      <c r="N12" s="1991"/>
      <c r="O12" s="1163"/>
      <c r="P12" s="986"/>
      <c r="Q12" s="1001"/>
      <c r="R12" s="981"/>
      <c r="S12" s="1904"/>
      <c r="T12" s="991" t="s">
        <v>431</v>
      </c>
      <c r="U12" s="993"/>
      <c r="V12" s="993"/>
      <c r="W12" s="993"/>
      <c r="X12" s="993"/>
      <c r="Y12" s="993"/>
      <c r="Z12" s="993"/>
      <c r="AA12" s="993"/>
      <c r="AB12" s="993"/>
      <c r="AC12" s="992"/>
      <c r="AD12" s="993"/>
      <c r="AE12" s="993"/>
      <c r="AF12" s="993"/>
      <c r="AG12" s="993"/>
      <c r="AH12" s="993"/>
      <c r="AI12" s="993"/>
      <c r="AJ12" s="993"/>
      <c r="AK12" s="992"/>
      <c r="AL12" s="993"/>
      <c r="AM12" s="929"/>
      <c r="AO12" s="1126"/>
      <c r="AP12" s="1126" t="str">
        <f>IF(T12="","",T12)</f>
        <v>Добавить схему подключения</v>
      </c>
      <c r="AQ12" s="1126"/>
      <c r="AR12" s="1126"/>
      <c r="AS12" s="1781">
        <v>0</v>
      </c>
    </row>
    <row s="34658" customFormat="1" customHeight="1" ht="0.75" hidden="1">
      <c r="A13" s="1940"/>
      <c r="B13" s="1940"/>
      <c r="C13" s="1940"/>
      <c r="D13" s="1940"/>
      <c r="E13" s="2885"/>
      <c r="F13" s="2885"/>
      <c r="G13" s="2884"/>
      <c r="H13" s="1940"/>
      <c r="I13" s="1940"/>
      <c r="J13" s="1940"/>
      <c r="K13" s="1940"/>
      <c r="L13" s="1965"/>
      <c r="M13" s="1941"/>
      <c r="N13" s="1941"/>
      <c r="P13" s="1942"/>
      <c r="Q13" s="1943"/>
      <c r="R13" s="1942"/>
      <c r="S13" s="1944"/>
      <c r="T13" s="1945" t="s">
        <v>432</v>
      </c>
      <c r="U13" s="1946"/>
      <c r="V13" s="1946"/>
      <c r="W13" s="1946"/>
      <c r="X13" s="1946"/>
      <c r="Y13" s="1946"/>
      <c r="Z13" s="1946"/>
      <c r="AA13" s="1946"/>
      <c r="AB13" s="1946"/>
      <c r="AC13" s="1946"/>
      <c r="AD13" s="1946"/>
      <c r="AE13" s="1946"/>
      <c r="AF13" s="1946"/>
      <c r="AG13" s="1946"/>
      <c r="AH13" s="1946"/>
      <c r="AI13" s="1946"/>
      <c r="AJ13" s="1946"/>
      <c r="AK13" s="1946"/>
      <c r="AL13" s="1946"/>
      <c r="AM13" s="1946"/>
      <c r="AO13" s="1415"/>
      <c r="AP13" s="1415" t="str">
        <f>IF(T13="","",T13)</f>
        <v>Добавить источник для дифференциации</v>
      </c>
      <c r="AQ13" s="1415"/>
      <c r="AR13" s="1415"/>
      <c r="AS13" s="1144">
        <v>0</v>
      </c>
    </row>
    <row s="34658" customFormat="1" customHeight="1" ht="0.75" hidden="1">
      <c r="A14" s="1940"/>
      <c r="B14" s="1940"/>
      <c r="C14" s="1940"/>
      <c r="D14" s="1940"/>
      <c r="E14" s="2885"/>
      <c r="F14" s="2884"/>
      <c r="G14" s="1940"/>
      <c r="H14" s="1940"/>
      <c r="I14" s="1940"/>
      <c r="J14" s="1940"/>
      <c r="K14" s="1940"/>
      <c r="L14" s="1965"/>
      <c r="M14" s="1947"/>
      <c r="N14" s="1947"/>
      <c r="P14" s="1942"/>
      <c r="Q14" s="1943"/>
      <c r="R14" s="1942"/>
      <c r="S14" s="1948"/>
      <c r="T14" s="1949" t="s">
        <v>433</v>
      </c>
      <c r="U14" s="1950"/>
      <c r="V14" s="1950"/>
      <c r="W14" s="1950"/>
      <c r="X14" s="1950"/>
      <c r="Y14" s="1950"/>
      <c r="Z14" s="1950"/>
      <c r="AA14" s="1950"/>
      <c r="AB14" s="1950"/>
      <c r="AC14" s="1950"/>
      <c r="AD14" s="1950"/>
      <c r="AE14" s="1950"/>
      <c r="AF14" s="1950"/>
      <c r="AG14" s="1950"/>
      <c r="AH14" s="1950"/>
      <c r="AI14" s="1950"/>
      <c r="AJ14" s="1950"/>
      <c r="AK14" s="1950"/>
      <c r="AL14" s="1950"/>
      <c r="AM14" s="1950"/>
      <c r="AO14" s="1415"/>
      <c r="AP14" s="1415" t="str">
        <f>IF(T14="","",T14)</f>
        <v>Добавить централизованную систему для дифференциации</v>
      </c>
      <c r="AQ14" s="1415"/>
      <c r="AR14" s="1415"/>
      <c r="AS14" s="1144">
        <v>0</v>
      </c>
    </row>
    <row s="34658" customFormat="1" customHeight="1" ht="0.75" hidden="1">
      <c r="A15" s="1940"/>
      <c r="B15" s="1940"/>
      <c r="C15" s="1940"/>
      <c r="D15" s="1940"/>
      <c r="E15" s="2884"/>
      <c r="F15" s="1940"/>
      <c r="G15" s="1940"/>
      <c r="H15" s="1940"/>
      <c r="I15" s="1940"/>
      <c r="J15" s="1940"/>
      <c r="K15" s="1940"/>
      <c r="L15" s="1965"/>
      <c r="M15" s="1947"/>
      <c r="N15" s="1947"/>
      <c r="P15" s="1942"/>
      <c r="Q15" s="1943"/>
      <c r="R15" s="1942"/>
      <c r="S15" s="1948"/>
      <c r="T15" s="1951" t="s">
        <v>434</v>
      </c>
      <c r="U15" s="1950"/>
      <c r="V15" s="1950"/>
      <c r="W15" s="1950"/>
      <c r="X15" s="1950"/>
      <c r="Y15" s="1950"/>
      <c r="Z15" s="1950"/>
      <c r="AA15" s="1950"/>
      <c r="AB15" s="1950"/>
      <c r="AC15" s="1950"/>
      <c r="AD15" s="1950"/>
      <c r="AE15" s="1950"/>
      <c r="AF15" s="1950"/>
      <c r="AG15" s="1950"/>
      <c r="AH15" s="1950"/>
      <c r="AI15" s="1950"/>
      <c r="AJ15" s="1950"/>
      <c r="AK15" s="1950"/>
      <c r="AL15" s="1950"/>
      <c r="AM15" s="1950"/>
      <c r="AO15" s="1415"/>
      <c r="AP15" s="1415" t="str">
        <f>IF(T15="","",T15)</f>
        <v>Добавить территорию для дифференциации</v>
      </c>
      <c r="AQ15" s="1415"/>
      <c r="AR15" s="1415"/>
      <c r="AS15" s="1144">
        <v>0</v>
      </c>
    </row>
    <row customHeight="1" ht="14.25" hidden="1">
      <c r="AC16" s="953"/>
      <c r="AK16" s="953"/>
      <c r="AS16" s="1781">
        <v>0</v>
      </c>
    </row>
    <row customHeight="1" ht="14.25" hidden="1">
      <c r="AD17" s="1986"/>
      <c r="AE17" s="1986"/>
      <c r="AF17" s="1986"/>
      <c r="AG17" s="1987"/>
      <c r="AH17" s="2893"/>
      <c r="AI17" s="2894" t="s">
        <v>66</v>
      </c>
      <c r="AJ17" s="2893"/>
      <c r="AK17" s="2894" t="s">
        <v>66</v>
      </c>
      <c r="AS17" s="1781">
        <v>0</v>
      </c>
    </row>
    <row customHeight="1" ht="14.25" hidden="1">
      <c r="AD18" s="1986"/>
      <c r="AE18" s="1986"/>
      <c r="AF18" s="1986"/>
      <c r="AG18" s="954" t="str">
        <f>AH17&amp;"-"&amp;AJ17</f>
        <v>-</v>
      </c>
      <c r="AH18" s="2894"/>
      <c r="AI18" s="2894"/>
      <c r="AJ18" s="2894"/>
      <c r="AK18" s="2894"/>
      <c r="AS18" s="1781">
        <v>0</v>
      </c>
    </row>
    <row customHeight="1" ht="14.25" hidden="1">
      <c r="AK19" s="953"/>
      <c r="AS19" s="1781">
        <v>0</v>
      </c>
    </row>
    <row s="34657" customFormat="1" customHeight="1" ht="22.5" hidden="1">
      <c r="L20" s="1955"/>
      <c r="M20" s="1988"/>
      <c r="N20" s="1988"/>
      <c r="O20" s="1993" t="s">
        <v>435</v>
      </c>
      <c r="P20" s="1988"/>
      <c r="Q20" s="1997"/>
      <c r="R20" s="1997"/>
      <c r="S20" s="1355"/>
      <c r="Z20" s="1993"/>
      <c r="AB20" s="1993"/>
      <c r="AC20" s="1992"/>
      <c r="AH20" s="1993"/>
      <c r="AJ20" s="1993"/>
      <c r="AK20" s="1992"/>
      <c r="AN20" s="1137"/>
      <c r="AO20" s="1137"/>
      <c r="AP20" s="1137"/>
      <c r="AQ20" s="1137"/>
      <c r="AR20" s="1137"/>
      <c r="AS20" s="1786">
        <v>0</v>
      </c>
    </row>
    <row s="34657" customFormat="1" customHeight="1" ht="14.25" hidden="1">
      <c r="L21" s="1955"/>
      <c r="M21" s="1988"/>
      <c r="N21" s="1988"/>
      <c r="O21" s="1988"/>
      <c r="P21" s="1988"/>
      <c r="Q21" s="1997"/>
      <c r="R21" s="1997"/>
      <c r="S21" s="1355"/>
      <c r="AC21" s="1992"/>
      <c r="AK21" s="1992"/>
      <c r="AN21" s="1137"/>
      <c r="AO21" s="1137"/>
      <c r="AP21" s="1137"/>
      <c r="AQ21" s="1137"/>
      <c r="AR21" s="1137"/>
      <c r="AS21" s="1786">
        <v>0</v>
      </c>
    </row>
    <row s="34657" customFormat="1" customHeight="1" ht="33.75" hidden="1">
      <c r="L22" s="1955"/>
      <c r="M22" s="1988"/>
      <c r="N22" s="1988"/>
      <c r="O22" s="1990" t="s">
        <v>436</v>
      </c>
      <c r="P22" s="1988"/>
      <c r="Q22" s="1997"/>
      <c r="R22" s="1997"/>
      <c r="S22" s="1355"/>
      <c r="T22" s="1786" t="s">
        <v>437</v>
      </c>
      <c r="AA22" s="812" t="s">
        <v>438</v>
      </c>
      <c r="AC22" s="812" t="s">
        <v>439</v>
      </c>
      <c r="AD22" s="1786" t="s">
        <v>437</v>
      </c>
      <c r="AI22" s="812" t="s">
        <v>440</v>
      </c>
      <c r="AK22" s="812" t="s">
        <v>439</v>
      </c>
      <c r="AN22" s="1137"/>
      <c r="AO22" s="1137"/>
      <c r="AP22" s="1137"/>
      <c r="AQ22" s="1137"/>
      <c r="AR22" s="1137"/>
      <c r="AS22" s="1786">
        <v>0</v>
      </c>
    </row>
    <row customHeight="1" ht="14.25" hidden="1">
      <c r="O23" s="1990"/>
      <c r="AS23" s="1781">
        <v>0</v>
      </c>
    </row>
    <row customHeight="1" ht="14.25" hidden="1">
      <c r="O24" s="1990"/>
      <c r="AS24" s="1781">
        <v>0</v>
      </c>
    </row>
    <row customHeight="1" ht="14.699999999999998">
      <c r="Q25" s="1002"/>
      <c r="R25" s="1002"/>
      <c r="S25" s="1901"/>
      <c r="T25" s="989"/>
      <c r="U25" s="989"/>
      <c r="V25" s="1135"/>
      <c r="W25" s="1135"/>
      <c r="X25" s="1135"/>
      <c r="Y25" s="1135"/>
      <c r="Z25" s="1135"/>
      <c r="AA25" s="1135"/>
      <c r="AB25" s="1135"/>
      <c r="AC25" s="1135"/>
      <c r="AD25" s="1135"/>
      <c r="AE25" s="1135"/>
      <c r="AF25" s="1135"/>
      <c r="AG25" s="1135"/>
      <c r="AH25" s="1135"/>
      <c r="AI25" s="1135"/>
      <c r="AJ25" s="1135"/>
      <c r="AK25" s="1135"/>
      <c r="AS25" s="1781">
        <v>14</v>
      </c>
    </row>
    <row customHeight="1" ht="29.25">
      <c r="Q26" s="1002"/>
      <c r="R26" s="1002"/>
      <c r="S26" s="28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4"/>
      <c r="U26" s="2874"/>
      <c r="V26" s="2874"/>
      <c r="W26" s="2874"/>
      <c r="X26" s="2874"/>
      <c r="Y26" s="2874"/>
      <c r="Z26" s="2874"/>
      <c r="AA26" s="2874"/>
      <c r="AB26" s="2874"/>
      <c r="AC26" s="2874"/>
      <c r="AD26" s="2874"/>
      <c r="AE26" s="2874"/>
      <c r="AF26" s="2874"/>
      <c r="AG26" s="2874"/>
      <c r="AH26" s="2874"/>
      <c r="AI26" s="2874"/>
      <c r="AJ26" s="2874"/>
      <c r="AK26" s="1869"/>
      <c r="AS26" s="1781">
        <v>28</v>
      </c>
    </row>
    <row customHeight="1" ht="14.699999999999998">
      <c r="Q27" s="1002"/>
      <c r="R27" s="1002"/>
      <c r="S27" s="2875" t="str">
        <f>IF(org=0,"Не определено",org)</f>
        <v>АО "ДГК"</v>
      </c>
      <c r="T27" s="2875"/>
      <c r="U27" s="2875"/>
      <c r="V27" s="2875"/>
      <c r="W27" s="2875"/>
      <c r="X27" s="2875"/>
      <c r="Y27" s="2875"/>
      <c r="Z27" s="2875"/>
      <c r="AA27" s="2875"/>
      <c r="AB27" s="2875"/>
      <c r="AC27" s="2875"/>
      <c r="AD27" s="2875"/>
      <c r="AE27" s="2875"/>
      <c r="AF27" s="2875"/>
      <c r="AG27" s="2875"/>
      <c r="AH27" s="2875"/>
      <c r="AI27" s="2875"/>
      <c r="AJ27" s="2875"/>
      <c r="AK27" s="1869"/>
      <c r="AS27" s="1781">
        <v>14</v>
      </c>
    </row>
    <row customHeight="1" ht="14.25" hidden="1">
      <c r="Q28" s="1002"/>
      <c r="R28" s="1002"/>
      <c r="S28" s="1901"/>
      <c r="T28" s="989"/>
      <c r="U28" s="989"/>
      <c r="V28" s="948"/>
      <c r="W28" s="948"/>
      <c r="X28" s="948"/>
      <c r="Y28" s="948"/>
      <c r="Z28" s="948"/>
      <c r="AA28" s="948"/>
      <c r="AB28" s="948"/>
      <c r="AC28" s="948"/>
      <c r="AD28" s="948"/>
      <c r="AE28" s="948"/>
      <c r="AF28" s="948"/>
      <c r="AG28" s="948"/>
      <c r="AH28" s="948"/>
      <c r="AI28" s="948"/>
      <c r="AJ28" s="948"/>
      <c r="AK28" s="948"/>
      <c r="AL28" s="1135"/>
      <c r="AS28" s="1781">
        <v>0</v>
      </c>
    </row>
    <row s="34794" customFormat="1" customHeight="1" ht="25.5" hidden="1">
      <c r="A29" s="1994"/>
      <c r="B29" s="1994"/>
      <c r="C29" s="1994"/>
      <c r="D29" s="1994"/>
      <c r="E29" s="1994"/>
      <c r="F29" s="1994"/>
      <c r="G29" s="1994"/>
      <c r="H29" s="1994"/>
      <c r="I29" s="1994"/>
      <c r="J29" s="1994"/>
      <c r="K29" s="1994"/>
      <c r="L29" s="1995"/>
      <c r="M29" s="1994"/>
      <c r="N29" s="1994"/>
      <c r="O29" s="1994"/>
      <c r="S29" s="2876" t="s">
        <v>42</v>
      </c>
      <c r="T29" s="2876"/>
      <c r="U29" s="1998"/>
      <c r="V29" s="2877" t="str">
        <f>IF(TITLE_NAME_OR_PR_CHANGE="",IF(TITLE_NAME_OR_PR="","",TITLE_NAME_OR_PR),TITLE_NAME_OR_PR_CHANGE)</f>
        <v/>
      </c>
      <c r="W29" s="2877"/>
      <c r="X29" s="2877"/>
      <c r="Y29" s="2877"/>
      <c r="Z29" s="2877"/>
      <c r="AA29" s="2877"/>
      <c r="AB29" s="2877"/>
      <c r="AC29" s="952"/>
      <c r="AD29" s="2877" t="str">
        <f>IF(TITLE_NAME_OR_PR_CHANGE="",IF(TITLE_NAME_OR_PR="","",TITLE_NAME_OR_PR),TITLE_NAME_OR_PR_CHANGE)</f>
        <v/>
      </c>
      <c r="AE29" s="2877"/>
      <c r="AF29" s="2877"/>
      <c r="AG29" s="2877"/>
      <c r="AH29" s="2877"/>
      <c r="AI29" s="2877"/>
      <c r="AJ29" s="2877"/>
      <c r="AK29" s="952"/>
      <c r="AL29" s="952"/>
      <c r="AM29" s="906"/>
      <c r="AN29" s="994"/>
      <c r="AO29" s="994"/>
      <c r="AP29" s="994"/>
      <c r="AQ29" s="994"/>
      <c r="AR29" s="994"/>
      <c r="AS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441</v>
      </c>
      <c r="T30" s="2876"/>
      <c r="U30" s="1998"/>
      <c r="V30" s="2890" t="str">
        <f>IF(TITLE_DATE_PR_CHANGE="",IF(TITLE_DATE_PR="","",TITLE_DATE_PR),TITLE_DATE_PR_CHANGE)</f>
        <v/>
      </c>
      <c r="W30" s="2890"/>
      <c r="X30" s="2890"/>
      <c r="Y30" s="2890"/>
      <c r="Z30" s="2890"/>
      <c r="AA30" s="2890"/>
      <c r="AB30" s="2890"/>
      <c r="AC30" s="952"/>
      <c r="AD30" s="2890" t="str">
        <f>IF(TITLE_DATE_PR_CHANGE="",IF(TITLE_DATE_PR="","",TITLE_DATE_PR),TITLE_DATE_PR_CHANGE)</f>
        <v/>
      </c>
      <c r="AE30" s="2890"/>
      <c r="AF30" s="2890"/>
      <c r="AG30" s="2890"/>
      <c r="AH30" s="2890"/>
      <c r="AI30" s="2890"/>
      <c r="AJ30" s="2890"/>
      <c r="AK30" s="952"/>
      <c r="AL30" s="952"/>
      <c r="AM30" s="906"/>
      <c r="AN30" s="994"/>
      <c r="AO30" s="994"/>
      <c r="AP30" s="994"/>
      <c r="AQ30" s="994"/>
      <c r="AR30" s="994"/>
      <c r="AS30" s="1044">
        <v>0</v>
      </c>
    </row>
    <row s="34794" customFormat="1" customHeight="1" ht="18.75" hidden="1">
      <c r="A31" s="1994"/>
      <c r="B31" s="1994"/>
      <c r="C31" s="1994"/>
      <c r="D31" s="1994"/>
      <c r="E31" s="1994"/>
      <c r="F31" s="1994"/>
      <c r="G31" s="1994"/>
      <c r="H31" s="1994"/>
      <c r="I31" s="1994"/>
      <c r="J31" s="1994"/>
      <c r="K31" s="1994"/>
      <c r="L31" s="1995"/>
      <c r="M31" s="1994"/>
      <c r="N31" s="1994"/>
      <c r="O31" s="1994"/>
      <c r="S31" s="2876" t="s">
        <v>442</v>
      </c>
      <c r="T31" s="2876"/>
      <c r="U31" s="1998"/>
      <c r="V31" s="2877" t="str">
        <f>IF(TITLE_NUMBER_PR_CHANGE="",IF(TITLE_NUMBER_PR="","",TITLE_NUMBER_PR),TITLE_NUMBER_PR_CHANGE)</f>
        <v/>
      </c>
      <c r="W31" s="2877"/>
      <c r="X31" s="2877"/>
      <c r="Y31" s="2877"/>
      <c r="Z31" s="2877"/>
      <c r="AA31" s="2877"/>
      <c r="AB31" s="2877"/>
      <c r="AC31" s="952"/>
      <c r="AD31" s="2877" t="str">
        <f>IF(TITLE_NUMBER_PR_CHANGE="",IF(TITLE_NUMBER_PR="","",TITLE_NUMBER_PR),TITLE_NUMBER_PR_CHANGE)</f>
        <v/>
      </c>
      <c r="AE31" s="2877"/>
      <c r="AF31" s="2877"/>
      <c r="AG31" s="2877"/>
      <c r="AH31" s="2877"/>
      <c r="AI31" s="2877"/>
      <c r="AJ31" s="2877"/>
      <c r="AK31" s="952"/>
      <c r="AL31" s="952"/>
      <c r="AM31" s="906"/>
      <c r="AN31" s="994"/>
      <c r="AO31" s="994"/>
      <c r="AP31" s="994"/>
      <c r="AQ31" s="994"/>
      <c r="AR31" s="994"/>
      <c r="AS31" s="1044">
        <v>0</v>
      </c>
    </row>
    <row s="34794" customFormat="1" customHeight="1" ht="18.75" hidden="1">
      <c r="A32" s="1994"/>
      <c r="B32" s="1994"/>
      <c r="C32" s="1994"/>
      <c r="D32" s="1994"/>
      <c r="E32" s="1994"/>
      <c r="F32" s="1994"/>
      <c r="G32" s="1994"/>
      <c r="H32" s="1994"/>
      <c r="I32" s="1994"/>
      <c r="J32" s="1994"/>
      <c r="K32" s="1994"/>
      <c r="L32" s="1995"/>
      <c r="M32" s="1994"/>
      <c r="N32" s="1994"/>
      <c r="O32" s="1994"/>
      <c r="S32" s="2876" t="s">
        <v>43</v>
      </c>
      <c r="T32" s="2876"/>
      <c r="U32" s="1998"/>
      <c r="V32" s="2877" t="str">
        <f>IF(TITLE_IST_PUB_CHANGE="",IF(TITLE_IST_PUB="","",TITLE_IST_PUB),TITLE_IST_PUB_CHANGE)</f>
        <v/>
      </c>
      <c r="W32" s="2877"/>
      <c r="X32" s="2877"/>
      <c r="Y32" s="2877"/>
      <c r="Z32" s="2877"/>
      <c r="AA32" s="2877"/>
      <c r="AB32" s="2877"/>
      <c r="AC32" s="952"/>
      <c r="AD32" s="2877" t="str">
        <f>IF(TITLE_IST_PUB_CHANGE="",IF(TITLE_IST_PUB="","",TITLE_IST_PUB),TITLE_IST_PUB_CHANGE)</f>
        <v/>
      </c>
      <c r="AE32" s="2877"/>
      <c r="AF32" s="2877"/>
      <c r="AG32" s="2877"/>
      <c r="AH32" s="2877"/>
      <c r="AI32" s="2877"/>
      <c r="AJ32" s="2877"/>
      <c r="AK32" s="952"/>
      <c r="AL32" s="952"/>
      <c r="AM32" s="906"/>
      <c r="AN32" s="994"/>
      <c r="AO32" s="994"/>
      <c r="AP32" s="994"/>
      <c r="AQ32" s="994"/>
      <c r="AR32" s="994"/>
      <c r="AS32" s="1044">
        <v>0</v>
      </c>
    </row>
    <row customHeight="1" ht="14.25" hidden="1">
      <c r="Q33" s="1002"/>
      <c r="R33" s="1002"/>
      <c r="S33" s="1901"/>
      <c r="T33" s="989"/>
      <c r="U33" s="989"/>
      <c r="V33" s="948"/>
      <c r="W33" s="948"/>
      <c r="X33" s="948"/>
      <c r="Y33" s="948"/>
      <c r="Z33" s="948"/>
      <c r="AA33" s="948"/>
      <c r="AB33" s="948"/>
      <c r="AC33" s="948"/>
      <c r="AD33" s="948"/>
      <c r="AE33" s="948"/>
      <c r="AF33" s="948"/>
      <c r="AG33" s="948"/>
      <c r="AH33" s="948"/>
      <c r="AI33" s="948"/>
      <c r="AJ33" s="948"/>
      <c r="AK33" s="948"/>
      <c r="AL33" s="1135"/>
      <c r="AS33" s="1781">
        <v>0</v>
      </c>
    </row>
    <row s="34794" customFormat="1" customHeight="1" ht="18.75" hidden="1">
      <c r="A34" s="1994"/>
      <c r="B34" s="1994"/>
      <c r="C34" s="1994"/>
      <c r="D34" s="1994"/>
      <c r="E34" s="1994"/>
      <c r="F34" s="1994"/>
      <c r="G34" s="1994"/>
      <c r="H34" s="1994"/>
      <c r="I34" s="1994"/>
      <c r="J34" s="1994"/>
      <c r="K34" s="1994"/>
      <c r="L34" s="1995"/>
      <c r="M34" s="1994"/>
      <c r="N34" s="1994"/>
      <c r="O34" s="1994"/>
      <c r="S34" s="2876" t="s">
        <v>443</v>
      </c>
      <c r="T34" s="2876"/>
      <c r="U34" s="1998"/>
      <c r="V34" s="2890" t="str">
        <f>IF(TITLE_DATE_PR_CHANGE="",IF(TITLE_DATE_PR="","",TITLE_DATE_PR),TITLE_DATE_PR_CHANGE)</f>
        <v/>
      </c>
      <c r="W34" s="2890"/>
      <c r="X34" s="2890"/>
      <c r="Y34" s="2890"/>
      <c r="Z34" s="2890"/>
      <c r="AA34" s="2890"/>
      <c r="AB34" s="2890"/>
      <c r="AC34" s="952"/>
      <c r="AD34" s="2890" t="str">
        <f>IF(TITLE_DATE_PR_CHANGE="",IF(TITLE_DATE_PR="","",TITLE_DATE_PR),TITLE_DATE_PR_CHANGE)</f>
        <v/>
      </c>
      <c r="AE34" s="2890"/>
      <c r="AF34" s="2890"/>
      <c r="AG34" s="2890"/>
      <c r="AH34" s="2890"/>
      <c r="AI34" s="2890"/>
      <c r="AJ34" s="2890"/>
      <c r="AK34" s="952"/>
      <c r="AL34" s="952"/>
      <c r="AM34" s="906"/>
      <c r="AN34" s="994"/>
      <c r="AO34" s="994"/>
      <c r="AP34" s="994"/>
      <c r="AQ34" s="994"/>
      <c r="AR34" s="994"/>
      <c r="AS34" s="1044">
        <v>0</v>
      </c>
    </row>
    <row s="34794" customFormat="1" customHeight="1" ht="18.75" hidden="1">
      <c r="A35" s="1994"/>
      <c r="B35" s="1994"/>
      <c r="C35" s="1994"/>
      <c r="D35" s="1994"/>
      <c r="E35" s="1994"/>
      <c r="F35" s="1994"/>
      <c r="G35" s="1994"/>
      <c r="H35" s="1994"/>
      <c r="I35" s="1994"/>
      <c r="J35" s="1994"/>
      <c r="K35" s="1994"/>
      <c r="L35" s="1995"/>
      <c r="M35" s="1994"/>
      <c r="N35" s="1994"/>
      <c r="O35" s="1994"/>
      <c r="S35" s="2876" t="s">
        <v>444</v>
      </c>
      <c r="T35" s="2876"/>
      <c r="U35" s="1998"/>
      <c r="V35" s="2877" t="str">
        <f>IF(TITLE_NUMBER_PR_CHANGE="",IF(TITLE_NUMBER_PR="","",TITLE_NUMBER_PR),TITLE_NUMBER_PR_CHANGE)</f>
        <v/>
      </c>
      <c r="W35" s="2877"/>
      <c r="X35" s="2877"/>
      <c r="Y35" s="2877"/>
      <c r="Z35" s="2877"/>
      <c r="AA35" s="2877"/>
      <c r="AB35" s="2877"/>
      <c r="AC35" s="952"/>
      <c r="AD35" s="2877" t="str">
        <f>IF(TITLE_NUMBER_PR_CHANGE="",IF(TITLE_NUMBER_PR="","",TITLE_NUMBER_PR),TITLE_NUMBER_PR_CHANGE)</f>
        <v/>
      </c>
      <c r="AE35" s="2877"/>
      <c r="AF35" s="2877"/>
      <c r="AG35" s="2877"/>
      <c r="AH35" s="2877"/>
      <c r="AI35" s="2877"/>
      <c r="AJ35" s="2877"/>
      <c r="AK35" s="952"/>
      <c r="AL35" s="952"/>
      <c r="AM35" s="906"/>
      <c r="AN35" s="994"/>
      <c r="AO35" s="994"/>
      <c r="AP35" s="994"/>
      <c r="AQ35" s="994"/>
      <c r="AR35" s="994"/>
      <c r="AS35" s="1044">
        <v>0</v>
      </c>
    </row>
    <row s="34794" customFormat="1" customHeight="1" ht="0">
      <c r="A36" s="1994"/>
      <c r="B36" s="1994"/>
      <c r="C36" s="1994"/>
      <c r="D36" s="1994"/>
      <c r="E36" s="1994"/>
      <c r="F36" s="1994"/>
      <c r="G36" s="1994"/>
      <c r="H36" s="1994"/>
      <c r="I36" s="1994"/>
      <c r="J36" s="1994"/>
      <c r="K36" s="1994"/>
      <c r="L36" s="1995"/>
      <c r="M36" s="1994"/>
      <c r="N36" s="1994"/>
      <c r="O36" s="1994"/>
      <c r="S36" s="949"/>
      <c r="T36" s="949"/>
      <c r="U36" s="1966"/>
      <c r="V36" s="952"/>
      <c r="W36" s="952"/>
      <c r="X36" s="952"/>
      <c r="Y36" s="952"/>
      <c r="Z36" s="952"/>
      <c r="AA36" s="952"/>
      <c r="AB36" s="952"/>
      <c r="AC36" s="904" t="s">
        <v>445</v>
      </c>
      <c r="AD36" s="952"/>
      <c r="AE36" s="952"/>
      <c r="AF36" s="952"/>
      <c r="AG36" s="952"/>
      <c r="AH36" s="952"/>
      <c r="AI36" s="952"/>
      <c r="AJ36" s="952"/>
      <c r="AK36" s="904" t="s">
        <v>445</v>
      </c>
      <c r="AN36" s="994"/>
      <c r="AO36" s="994"/>
      <c r="AP36" s="994"/>
      <c r="AQ36" s="994"/>
      <c r="AR36" s="994"/>
      <c r="AS36" s="1044">
        <v>0</v>
      </c>
    </row>
    <row customHeight="1" ht="14.699999999999998">
      <c r="Q37" s="1002"/>
      <c r="R37" s="1002"/>
      <c r="S37" s="1901"/>
      <c r="T37" s="989"/>
      <c r="U37" s="1870"/>
      <c r="V37" s="2878"/>
      <c r="W37" s="2878"/>
      <c r="X37" s="2878"/>
      <c r="Y37" s="2878"/>
      <c r="Z37" s="2878"/>
      <c r="AA37" s="2878"/>
      <c r="AB37" s="2878"/>
      <c r="AC37" s="2878"/>
      <c r="AD37" s="2878"/>
      <c r="AE37" s="2878"/>
      <c r="AF37" s="2878"/>
      <c r="AG37" s="2878"/>
      <c r="AH37" s="2878"/>
      <c r="AI37" s="2878"/>
      <c r="AJ37" s="2878"/>
      <c r="AK37" s="2878"/>
      <c r="AS37" s="1781">
        <v>14</v>
      </c>
    </row>
    <row customHeight="1" ht="14.699999999999998">
      <c r="Q38" s="1002"/>
      <c r="R38" s="1002"/>
      <c r="S38" s="2753" t="s">
        <v>318</v>
      </c>
      <c r="T38" s="2753"/>
      <c r="U38" s="2753"/>
      <c r="V38" s="2753"/>
      <c r="W38" s="2753"/>
      <c r="X38" s="2753"/>
      <c r="Y38" s="2753"/>
      <c r="Z38" s="2753"/>
      <c r="AA38" s="2753"/>
      <c r="AB38" s="2753"/>
      <c r="AC38" s="2753"/>
      <c r="AD38" s="2753"/>
      <c r="AE38" s="2753"/>
      <c r="AF38" s="2753"/>
      <c r="AG38" s="2753"/>
      <c r="AH38" s="2753"/>
      <c r="AI38" s="2753"/>
      <c r="AJ38" s="2753"/>
      <c r="AK38" s="2753"/>
      <c r="AL38" s="2753"/>
      <c r="AM38" s="2753" t="s">
        <v>319</v>
      </c>
      <c r="AS38" s="1781">
        <v>14</v>
      </c>
    </row>
    <row customHeight="1" ht="14.699999999999998">
      <c r="Q39" s="1002"/>
      <c r="R39" s="1002"/>
      <c r="S39" s="2899" t="s">
        <v>88</v>
      </c>
      <c r="T39" s="2835" t="s">
        <v>446</v>
      </c>
      <c r="U39" s="927"/>
      <c r="V39" s="2900" t="s">
        <v>447</v>
      </c>
      <c r="W39" s="2901"/>
      <c r="X39" s="2917"/>
      <c r="Y39" s="2917"/>
      <c r="Z39" s="2901"/>
      <c r="AA39" s="2901"/>
      <c r="AB39" s="2902"/>
      <c r="AC39" s="2903" t="s">
        <v>448</v>
      </c>
      <c r="AD39" s="2900" t="s">
        <v>447</v>
      </c>
      <c r="AE39" s="2901"/>
      <c r="AF39" s="2917"/>
      <c r="AG39" s="2917"/>
      <c r="AH39" s="2901"/>
      <c r="AI39" s="2901"/>
      <c r="AJ39" s="2902"/>
      <c r="AK39" s="2903" t="s">
        <v>449</v>
      </c>
      <c r="AL39" s="2906" t="s">
        <v>450</v>
      </c>
      <c r="AM39" s="2753"/>
      <c r="AS39" s="1781">
        <v>14</v>
      </c>
    </row>
    <row customHeight="1" ht="24">
      <c r="Q40" s="1002"/>
      <c r="R40" s="1002"/>
      <c r="S40" s="2899"/>
      <c r="T40" s="2835"/>
      <c r="U40" s="1657"/>
      <c r="V40" s="2918" t="s">
        <v>451</v>
      </c>
      <c r="W40" s="2920" t="s">
        <v>452</v>
      </c>
      <c r="X40" s="2002" t="s">
        <v>453</v>
      </c>
      <c r="Y40" s="2002"/>
      <c r="Z40" s="2895" t="s">
        <v>454</v>
      </c>
      <c r="AA40" s="2895"/>
      <c r="AB40" s="2889"/>
      <c r="AC40" s="2904"/>
      <c r="AD40" s="2918" t="s">
        <v>451</v>
      </c>
      <c r="AE40" s="2920" t="s">
        <v>452</v>
      </c>
      <c r="AF40" s="2002" t="s">
        <v>453</v>
      </c>
      <c r="AG40" s="2002"/>
      <c r="AH40" s="2895" t="s">
        <v>454</v>
      </c>
      <c r="AI40" s="2895"/>
      <c r="AJ40" s="2889"/>
      <c r="AK40" s="2904"/>
      <c r="AL40" s="2907"/>
      <c r="AM40" s="2753"/>
      <c r="AS40" s="1781">
        <v>23</v>
      </c>
    </row>
    <row s="34858" customFormat="1" customHeight="1" ht="24">
      <c r="A41" s="1996"/>
      <c r="B41" s="1996" t="s">
        <v>155</v>
      </c>
      <c r="C41" s="1996" t="s">
        <v>156</v>
      </c>
      <c r="D41" s="1996" t="s">
        <v>157</v>
      </c>
      <c r="E41" s="1990" t="s">
        <v>455</v>
      </c>
      <c r="F41" s="1990" t="s">
        <v>456</v>
      </c>
      <c r="G41" s="1990" t="s">
        <v>457</v>
      </c>
      <c r="H41" s="1990" t="s">
        <v>458</v>
      </c>
      <c r="I41" s="1990" t="s">
        <v>459</v>
      </c>
      <c r="J41" s="1990" t="s">
        <v>460</v>
      </c>
      <c r="K41" s="1990" t="s">
        <v>461</v>
      </c>
      <c r="L41" s="1990" t="s">
        <v>436</v>
      </c>
      <c r="M41" s="1988"/>
      <c r="N41" s="1988"/>
      <c r="O41" s="1988"/>
      <c r="P41" s="1954"/>
      <c r="Q41" s="1002"/>
      <c r="R41" s="1002"/>
      <c r="S41" s="2899"/>
      <c r="T41" s="2835"/>
      <c r="U41" s="928"/>
      <c r="V41" s="2919"/>
      <c r="W41" s="2921"/>
      <c r="X41" s="1999" t="s">
        <v>462</v>
      </c>
      <c r="Y41" s="1999" t="s">
        <v>463</v>
      </c>
      <c r="Z41" s="1960" t="s">
        <v>464</v>
      </c>
      <c r="AA41" s="2896" t="s">
        <v>465</v>
      </c>
      <c r="AB41" s="2897"/>
      <c r="AC41" s="2905"/>
      <c r="AD41" s="2919"/>
      <c r="AE41" s="2921"/>
      <c r="AF41" s="1999" t="s">
        <v>462</v>
      </c>
      <c r="AG41" s="1999" t="s">
        <v>463</v>
      </c>
      <c r="AH41" s="1960" t="s">
        <v>464</v>
      </c>
      <c r="AI41" s="2896" t="s">
        <v>465</v>
      </c>
      <c r="AJ41" s="2897"/>
      <c r="AK41" s="2905"/>
      <c r="AL41" s="2908"/>
      <c r="AM41" s="2753"/>
      <c r="AN41" s="1137"/>
      <c r="AO41" s="1126"/>
      <c r="AP41" s="1126"/>
      <c r="AQ41" s="1126"/>
      <c r="AR41" s="1126"/>
      <c r="AS41" s="1208">
        <v>23</v>
      </c>
    </row>
    <row s="35197" customFormat="1" customHeight="1" ht="11.25" hidden="1">
      <c r="A42" s="1996"/>
      <c r="B42" s="1996"/>
      <c r="C42" s="1996"/>
      <c r="D42" s="1996"/>
      <c r="E42" s="1996"/>
      <c r="F42" s="1996"/>
      <c r="G42" s="1996"/>
      <c r="H42" s="1996"/>
      <c r="I42" s="1996"/>
      <c r="J42" s="1996"/>
      <c r="K42" s="1996"/>
      <c r="L42" s="1990"/>
      <c r="M42" s="1988"/>
      <c r="N42" s="1988"/>
      <c r="O42" s="1988"/>
      <c r="P42" s="1872"/>
      <c r="Q42" s="1873"/>
      <c r="R42" s="1880">
        <v>1</v>
      </c>
      <c r="S42" s="1903" t="s">
        <v>118</v>
      </c>
      <c r="T42" s="1881" t="s">
        <v>102</v>
      </c>
      <c r="U42" s="1871" t="str">
        <f>OFFSET(U42,0,-1)</f>
        <v>2</v>
      </c>
      <c r="V42" s="1961">
        <f>OFFSET(V42,0,-1)+1</f>
        <v>3</v>
      </c>
      <c r="W42" s="1961"/>
      <c r="X42" s="1967">
        <f>OFFSET(X42,0,-1)+1</f>
        <v>1</v>
      </c>
      <c r="Y42" s="1967">
        <f>OFFSET(Y42,0,-1)+1</f>
        <v>2</v>
      </c>
      <c r="Z42" s="1961">
        <f>OFFSET(Z42,0,-1)+1</f>
        <v>3</v>
      </c>
      <c r="AA42" s="2898">
        <f>OFFSET(AA42,0,-1)+1</f>
        <v>4</v>
      </c>
      <c r="AB42" s="2898"/>
      <c r="AC42" s="1961">
        <f>OFFSET(AC42,0,-2)+1</f>
        <v>5</v>
      </c>
      <c r="AD42" s="1961">
        <f>OFFSET(AD42,0,-1)+1</f>
        <v>6</v>
      </c>
      <c r="AE42" s="1961"/>
      <c r="AF42" s="1967">
        <f>OFFSET(AF42,0,-1)+1</f>
        <v>1</v>
      </c>
      <c r="AG42" s="1967">
        <f>OFFSET(AG42,0,-1)+1</f>
        <v>2</v>
      </c>
      <c r="AH42" s="1961">
        <f>OFFSET(AH42,0,-1)+1</f>
        <v>3</v>
      </c>
      <c r="AI42" s="2898">
        <f>OFFSET(AI42,0,-1)+1</f>
        <v>4</v>
      </c>
      <c r="AJ42" s="2898"/>
      <c r="AK42" s="1961">
        <f>OFFSET(AK42,0,-2)+1</f>
        <v>5</v>
      </c>
      <c r="AL42" s="1871">
        <f>OFFSET(AL42,0,-1)</f>
        <v>5</v>
      </c>
      <c r="AM42" s="1961">
        <f>OFFSET(AM42,0,-1)+1</f>
        <v>6</v>
      </c>
      <c r="AN42" s="1137"/>
      <c r="AO42" s="1137"/>
      <c r="AP42" s="1137"/>
      <c r="AQ42" s="1137"/>
      <c r="AR42" s="1137"/>
      <c r="AS42" s="1122">
        <v>0</v>
      </c>
    </row>
    <row customHeight="1" ht="22.049999999999997">
      <c r="A43" s="1989" t="s">
        <v>212</v>
      </c>
      <c r="B43" s="1989"/>
      <c r="C43" s="1989"/>
      <c r="D43" s="1989"/>
      <c r="E43" s="2884">
        <v>1</v>
      </c>
      <c r="F43" s="1989"/>
      <c r="G43" s="1989"/>
      <c r="H43" s="1989"/>
      <c r="I43" s="1989"/>
      <c r="J43" s="1989"/>
      <c r="K43" s="1989"/>
      <c r="L43" s="1990"/>
      <c r="M43" s="1991"/>
      <c r="N43" s="1991"/>
      <c r="O43" s="1991"/>
      <c r="P43" s="987"/>
      <c r="Q43" s="986"/>
      <c r="R43" s="981"/>
      <c r="S43" s="1962">
        <f>INDEX(PT_DIFFERENTIATION_NUM_NTAR,MATCH(A43,PT_DIFFERENTIATION_NTAR_ID,0))</f>
        <v>0</v>
      </c>
      <c r="T43" s="924" t="s">
        <v>143</v>
      </c>
      <c r="U43" s="926"/>
      <c r="V43" s="2868"/>
      <c r="W43" s="2869"/>
      <c r="X43" s="2869"/>
      <c r="Y43" s="2869"/>
      <c r="Z43" s="2869"/>
      <c r="AA43" s="2869"/>
      <c r="AB43" s="2869"/>
      <c r="AC43" s="2870"/>
      <c r="AD43" s="2868" t="str">
        <f>INDEX(PT_DIFFERENTIATION_NTAR,MATCH(A43,PT_DIFFERENTIATION_NTAR_ID,0))</f>
        <v/>
      </c>
      <c r="AE43" s="2869"/>
      <c r="AF43" s="2869"/>
      <c r="AG43" s="2869"/>
      <c r="AH43" s="2869"/>
      <c r="AI43" s="2869"/>
      <c r="AJ43" s="2869"/>
      <c r="AK43" s="2869"/>
      <c r="AL43" s="2870"/>
      <c r="AM43" s="18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26"/>
      <c r="AP43" s="1126" t="str">
        <f>IF(T43="","",T43)</f>
        <v>Наименование тарифа</v>
      </c>
      <c r="AQ43" s="1126"/>
      <c r="AR43" s="1126"/>
      <c r="AS43" s="1781">
        <v>21</v>
      </c>
    </row>
    <row customHeight="1" ht="22.049999999999997">
      <c r="A44" s="1989" t="s">
        <v>212</v>
      </c>
      <c r="B44" s="1989" t="s">
        <v>213</v>
      </c>
      <c r="C44" s="1989"/>
      <c r="D44" s="1989"/>
      <c r="E44" s="2885"/>
      <c r="F44" s="2884">
        <v>1</v>
      </c>
      <c r="G44" s="1989"/>
      <c r="H44" s="1989"/>
      <c r="I44" s="1989"/>
      <c r="J44" s="1989"/>
      <c r="K44" s="1989"/>
      <c r="L44" s="1990"/>
      <c r="M44" s="1991"/>
      <c r="N44" s="1991"/>
      <c r="O44" s="1991"/>
      <c r="P44" s="1958"/>
      <c r="Q44" s="978"/>
      <c r="R44" s="979"/>
      <c r="S44" s="1962" t="str">
        <f>INDEX(PT_DIFFERENTIATION_NUM_TER,MATCH(B44,PT_DIFFERENTIATION_TER_ID,0))</f>
        <v>.</v>
      </c>
      <c r="T44" s="934" t="s">
        <v>415</v>
      </c>
      <c r="U44" s="926"/>
      <c r="V44" s="2868"/>
      <c r="W44" s="2869"/>
      <c r="X44" s="2869"/>
      <c r="Y44" s="2869"/>
      <c r="Z44" s="2869"/>
      <c r="AA44" s="2869"/>
      <c r="AB44" s="2869"/>
      <c r="AC44" s="2870"/>
      <c r="AD44" s="2868" t="str">
        <f>INDEX(PT_DIFFERENTIATION_TER,MATCH(B44,PT_DIFFERENTIATION_TER_ID,0))</f>
        <v/>
      </c>
      <c r="AE44" s="2869"/>
      <c r="AF44" s="2869"/>
      <c r="AG44" s="2869"/>
      <c r="AH44" s="2869"/>
      <c r="AI44" s="2869"/>
      <c r="AJ44" s="2869"/>
      <c r="AK44" s="2869"/>
      <c r="AL44" s="2870"/>
      <c r="AM44" s="1884" t="s">
        <v>416</v>
      </c>
      <c r="AO44" s="1126"/>
      <c r="AP44" s="1126" t="str">
        <f>IF(T44="","",T44)</f>
        <v>Территория действия тарифа</v>
      </c>
      <c r="AQ44" s="1126"/>
      <c r="AR44" s="1126"/>
      <c r="AS44" s="1781">
        <v>21</v>
      </c>
    </row>
    <row customHeight="1" ht="24">
      <c r="A45" s="1989" t="s">
        <v>212</v>
      </c>
      <c r="B45" s="1989" t="s">
        <v>213</v>
      </c>
      <c r="C45" s="1989" t="s">
        <v>214</v>
      </c>
      <c r="D45" s="1989"/>
      <c r="E45" s="2885"/>
      <c r="F45" s="2885"/>
      <c r="G45" s="2884">
        <v>1</v>
      </c>
      <c r="H45" s="1989"/>
      <c r="I45" s="1989"/>
      <c r="J45" s="1989"/>
      <c r="K45" s="1989"/>
      <c r="L45" s="1990"/>
      <c r="M45" s="1991"/>
      <c r="N45" s="1991"/>
      <c r="O45" s="1991"/>
      <c r="P45" s="980"/>
      <c r="Q45" s="978"/>
      <c r="R45" s="979"/>
      <c r="S45" s="1962" t="str">
        <f>INDEX(PT_DIFFERENTIATION_NUM_CS,MATCH(C45,PT_DIFFERENTIATION_CS_ID,0))</f>
        <v>..</v>
      </c>
      <c r="T45" s="935" t="s">
        <v>417</v>
      </c>
      <c r="U45" s="926"/>
      <c r="V45" s="2868"/>
      <c r="W45" s="2869"/>
      <c r="X45" s="2869"/>
      <c r="Y45" s="2869"/>
      <c r="Z45" s="2869"/>
      <c r="AA45" s="2869"/>
      <c r="AB45" s="2869"/>
      <c r="AC45" s="2870"/>
      <c r="AD45" s="2868" t="str">
        <f>INDEX(PT_DIFFERENTIATION_CS,MATCH(C45,PT_DIFFERENTIATION_CS_ID,0))</f>
        <v/>
      </c>
      <c r="AE45" s="2869"/>
      <c r="AF45" s="2869"/>
      <c r="AG45" s="2869"/>
      <c r="AH45" s="2869"/>
      <c r="AI45" s="2869"/>
      <c r="AJ45" s="2869"/>
      <c r="AK45" s="2869"/>
      <c r="AL45" s="2870"/>
      <c r="AM45" s="1884" t="s">
        <v>418</v>
      </c>
      <c r="AO45" s="1126"/>
      <c r="AP45" s="1126" t="str">
        <f>IF(T45="","",T45)</f>
        <v>Наименование системы теплоснабжения </v>
      </c>
      <c r="AQ45" s="1126"/>
      <c r="AR45" s="1126"/>
      <c r="AS45" s="1781">
        <v>23</v>
      </c>
    </row>
    <row customHeight="1" ht="22.049999999999997">
      <c r="A46" s="1989" t="s">
        <v>212</v>
      </c>
      <c r="B46" s="1989" t="s">
        <v>213</v>
      </c>
      <c r="C46" s="1989" t="s">
        <v>214</v>
      </c>
      <c r="D46" s="1989" t="s">
        <v>215</v>
      </c>
      <c r="E46" s="2885"/>
      <c r="F46" s="2885"/>
      <c r="G46" s="2885"/>
      <c r="H46" s="2884">
        <v>1</v>
      </c>
      <c r="I46" s="1989"/>
      <c r="J46" s="1989"/>
      <c r="K46" s="1989"/>
      <c r="L46" s="1990"/>
      <c r="M46" s="1991"/>
      <c r="N46" s="1991"/>
      <c r="O46" s="1991"/>
      <c r="P46" s="980"/>
      <c r="Q46" s="978"/>
      <c r="R46" s="979"/>
      <c r="S46" s="1962" t="str">
        <f>INDEX(PT_DIFFERENTIATION_NUM_IST_TE,MATCH(D46,PT_DIFFERENTIATION_IST_TE_ID,0))</f>
        <v>...</v>
      </c>
      <c r="T46" s="936" t="s">
        <v>419</v>
      </c>
      <c r="U46" s="926"/>
      <c r="V46" s="2868"/>
      <c r="W46" s="2869"/>
      <c r="X46" s="2869"/>
      <c r="Y46" s="2869"/>
      <c r="Z46" s="2869"/>
      <c r="AA46" s="2869"/>
      <c r="AB46" s="2869"/>
      <c r="AC46" s="2870"/>
      <c r="AD46" s="2868" t="str">
        <f>INDEX(PT_DIFFERENTIATION_IST_TE,MATCH(D46,PT_DIFFERENTIATION_IST_TE_ID,0))</f>
        <v/>
      </c>
      <c r="AE46" s="2869"/>
      <c r="AF46" s="2869"/>
      <c r="AG46" s="2869"/>
      <c r="AH46" s="2869"/>
      <c r="AI46" s="2869"/>
      <c r="AJ46" s="2869"/>
      <c r="AK46" s="2869"/>
      <c r="AL46" s="2870"/>
      <c r="AM46" s="1884" t="s">
        <v>420</v>
      </c>
      <c r="AO46" s="1126"/>
      <c r="AP46" s="1126" t="str">
        <f>IF(T46="","",T46)</f>
        <v>Источник тепловой энергии  </v>
      </c>
      <c r="AQ46" s="1126"/>
      <c r="AR46" s="1126"/>
      <c r="AS46" s="1781">
        <v>21</v>
      </c>
    </row>
    <row customHeight="1" ht="49.5">
      <c r="A47" s="1989" t="s">
        <v>212</v>
      </c>
      <c r="B47" s="1989" t="s">
        <v>213</v>
      </c>
      <c r="C47" s="1989" t="s">
        <v>214</v>
      </c>
      <c r="D47" s="1989" t="s">
        <v>215</v>
      </c>
      <c r="E47" s="2885"/>
      <c r="F47" s="2885"/>
      <c r="G47" s="2885"/>
      <c r="H47" s="2885"/>
      <c r="I47" s="2882" t="str">
        <f>S46&amp;".1"</f>
        <v>....1</v>
      </c>
      <c r="J47" s="1989"/>
      <c r="K47" s="1989"/>
      <c r="L47" s="1990" t="s">
        <v>421</v>
      </c>
      <c r="P47" s="2883">
        <v>1</v>
      </c>
      <c r="Q47" s="1957"/>
      <c r="R47" s="982"/>
      <c r="S47" s="1962" t="str">
        <f>$I47</f>
        <v>....1</v>
      </c>
      <c r="T47" s="911" t="s">
        <v>422</v>
      </c>
      <c r="U47" s="926"/>
      <c r="V47" s="2871"/>
      <c r="W47" s="2872"/>
      <c r="X47" s="2872"/>
      <c r="Y47" s="2872"/>
      <c r="Z47" s="2872"/>
      <c r="AA47" s="2872"/>
      <c r="AB47" s="2872"/>
      <c r="AC47" s="2873"/>
      <c r="AD47" s="2871"/>
      <c r="AE47" s="2872"/>
      <c r="AF47" s="2872"/>
      <c r="AG47" s="2872"/>
      <c r="AH47" s="2872"/>
      <c r="AI47" s="2872"/>
      <c r="AJ47" s="2872"/>
      <c r="AK47" s="2872"/>
      <c r="AL47" s="2873"/>
      <c r="AM47" s="1884" t="s">
        <v>423</v>
      </c>
      <c r="AO47" s="1126"/>
      <c r="AP47" s="1126" t="str">
        <f>IF(T47="","",T47)</f>
        <v>Схема подключения теплопотребляющей установки к коллектору источника тепловой энергии</v>
      </c>
      <c r="AQ47" s="1126"/>
      <c r="AR47" s="1126"/>
      <c r="AS47" s="1781">
        <v>47</v>
      </c>
    </row>
    <row customHeight="1" ht="22.049999999999997">
      <c r="A48" s="1989" t="s">
        <v>212</v>
      </c>
      <c r="B48" s="1989" t="s">
        <v>213</v>
      </c>
      <c r="C48" s="1989" t="s">
        <v>214</v>
      </c>
      <c r="D48" s="1989" t="s">
        <v>215</v>
      </c>
      <c r="E48" s="2885"/>
      <c r="F48" s="2885"/>
      <c r="G48" s="2885"/>
      <c r="H48" s="2885"/>
      <c r="I48" s="2912"/>
      <c r="J48" s="2882" t="str">
        <f>I47&amp;".1"</f>
        <v>....1.1</v>
      </c>
      <c r="K48" s="1989"/>
      <c r="L48" s="1990" t="s">
        <v>424</v>
      </c>
      <c r="P48" s="2883"/>
      <c r="Q48" s="2883">
        <v>1</v>
      </c>
      <c r="R48" s="983"/>
      <c r="S48" s="1962" t="str">
        <f>$J48</f>
        <v>....1.1</v>
      </c>
      <c r="T48" s="912" t="s">
        <v>425</v>
      </c>
      <c r="U48" s="926"/>
      <c r="V48" s="2871"/>
      <c r="W48" s="2872"/>
      <c r="X48" s="2872"/>
      <c r="Y48" s="2872"/>
      <c r="Z48" s="2872"/>
      <c r="AA48" s="2872"/>
      <c r="AB48" s="2872"/>
      <c r="AC48" s="2873"/>
      <c r="AD48" s="2871"/>
      <c r="AE48" s="2872"/>
      <c r="AF48" s="2872"/>
      <c r="AG48" s="2872"/>
      <c r="AH48" s="2872"/>
      <c r="AI48" s="2872"/>
      <c r="AJ48" s="2872"/>
      <c r="AK48" s="2872"/>
      <c r="AL48" s="2873"/>
      <c r="AM48" s="1884" t="s">
        <v>426</v>
      </c>
      <c r="AO48" s="1126"/>
      <c r="AP48" s="1126" t="str">
        <f>IF(T48="","",T48)</f>
        <v>Группа потребителей</v>
      </c>
      <c r="AQ48" s="1126"/>
      <c r="AR48" s="1126"/>
      <c r="AS48" s="1781">
        <v>21</v>
      </c>
    </row>
    <row customHeight="1" ht="22.049999999999997">
      <c r="A49" s="1989" t="s">
        <v>212</v>
      </c>
      <c r="B49" s="1989" t="s">
        <v>213</v>
      </c>
      <c r="C49" s="1989" t="s">
        <v>214</v>
      </c>
      <c r="D49" s="1989" t="s">
        <v>215</v>
      </c>
      <c r="E49" s="2885"/>
      <c r="F49" s="2885"/>
      <c r="G49" s="2885"/>
      <c r="H49" s="2885"/>
      <c r="I49" s="2912"/>
      <c r="J49" s="2912"/>
      <c r="K49" s="2882" t="str">
        <f>J48&amp;".1"</f>
        <v>....1.1.1</v>
      </c>
      <c r="L49" s="1990" t="s">
        <v>427</v>
      </c>
      <c r="P49" s="2883"/>
      <c r="Q49" s="2883"/>
      <c r="R49" s="983">
        <v>1</v>
      </c>
      <c r="S49" s="1962" t="str">
        <f>$K49</f>
        <v>....1.1.1</v>
      </c>
      <c r="T49" s="1973"/>
      <c r="U49" s="926"/>
      <c r="V49" s="951"/>
      <c r="W49" s="1377"/>
      <c r="X49" s="951"/>
      <c r="Y49" s="1010"/>
      <c r="Z49" s="2891"/>
      <c r="AA49" s="2733" t="s">
        <v>66</v>
      </c>
      <c r="AB49" s="2891"/>
      <c r="AC49" s="2733" t="s">
        <v>66</v>
      </c>
      <c r="AD49" s="951"/>
      <c r="AE49" s="1377"/>
      <c r="AF49" s="951"/>
      <c r="AG49" s="1010"/>
      <c r="AH49" s="2891"/>
      <c r="AI49" s="2733" t="s">
        <v>66</v>
      </c>
      <c r="AJ49" s="2913"/>
      <c r="AK49" s="2733" t="s">
        <v>66</v>
      </c>
      <c r="AL49" s="1974"/>
      <c r="AM49" s="2879" t="s">
        <v>428</v>
      </c>
      <c r="AN49" s="1137">
        <f>STRCHECKDATE(V50:AL50)</f>
      </c>
      <c r="AO49" s="1126"/>
      <c r="AP49" s="1126" t="str">
        <f>IF(T49="","",T49)</f>
        <v/>
      </c>
      <c r="AQ49" s="1126"/>
      <c r="AR49" s="1126"/>
      <c r="AS49" s="1781">
        <v>21</v>
      </c>
    </row>
    <row customHeight="1" ht="1.05">
      <c r="A50" s="1989" t="s">
        <v>212</v>
      </c>
      <c r="B50" s="1989" t="s">
        <v>213</v>
      </c>
      <c r="C50" s="1989" t="s">
        <v>214</v>
      </c>
      <c r="D50" s="1989" t="s">
        <v>215</v>
      </c>
      <c r="E50" s="2885"/>
      <c r="F50" s="2885"/>
      <c r="G50" s="2885"/>
      <c r="H50" s="2885"/>
      <c r="I50" s="2912"/>
      <c r="J50" s="2912"/>
      <c r="K50" s="2882"/>
      <c r="L50" s="1990"/>
      <c r="P50" s="2883"/>
      <c r="Q50" s="2883"/>
      <c r="R50" s="983"/>
      <c r="S50" s="1968"/>
      <c r="T50" s="926"/>
      <c r="U50" s="926"/>
      <c r="V50" s="951"/>
      <c r="W50" s="951"/>
      <c r="X50" s="951"/>
      <c r="Y50" s="954" t="str">
        <f>Z49&amp;"-"&amp;AB49</f>
        <v>-</v>
      </c>
      <c r="Z50" s="2892"/>
      <c r="AA50" s="2733"/>
      <c r="AB50" s="2892"/>
      <c r="AC50" s="2733"/>
      <c r="AD50" s="951"/>
      <c r="AE50" s="951"/>
      <c r="AF50" s="951"/>
      <c r="AG50" s="954" t="str">
        <f>AH49&amp;"-"&amp;AJ49</f>
        <v>-</v>
      </c>
      <c r="AH50" s="2892"/>
      <c r="AI50" s="2733"/>
      <c r="AJ50" s="2914"/>
      <c r="AK50" s="2733"/>
      <c r="AL50" s="1975"/>
      <c r="AM50" s="2880"/>
      <c r="AO50" s="1126"/>
      <c r="AP50" s="1126" t="str">
        <f>IF(T50="","",T50)</f>
        <v/>
      </c>
      <c r="AQ50" s="1126"/>
      <c r="AR50" s="1126"/>
      <c r="AS50" s="1781">
        <v>1</v>
      </c>
    </row>
    <row customHeight="1" ht="11.549999999999999">
      <c r="A51" s="1989" t="s">
        <v>212</v>
      </c>
      <c r="B51" s="1989" t="s">
        <v>213</v>
      </c>
      <c r="C51" s="1989" t="s">
        <v>214</v>
      </c>
      <c r="D51" s="1989" t="s">
        <v>215</v>
      </c>
      <c r="E51" s="2885"/>
      <c r="F51" s="2885"/>
      <c r="G51" s="2885"/>
      <c r="H51" s="2885"/>
      <c r="I51" s="2912"/>
      <c r="J51" s="2882"/>
      <c r="K51" s="1989"/>
      <c r="L51" s="1990"/>
      <c r="P51" s="2883"/>
      <c r="Q51" s="2883"/>
      <c r="R51" s="982"/>
      <c r="S51" s="1904"/>
      <c r="T51" s="914" t="s">
        <v>429</v>
      </c>
      <c r="U51" s="993"/>
      <c r="V51" s="993"/>
      <c r="W51" s="993"/>
      <c r="X51" s="993"/>
      <c r="Y51" s="993"/>
      <c r="Z51" s="993"/>
      <c r="AA51" s="993"/>
      <c r="AB51" s="993"/>
      <c r="AC51" s="993"/>
      <c r="AD51" s="993"/>
      <c r="AE51" s="993"/>
      <c r="AF51" s="993"/>
      <c r="AG51" s="993"/>
      <c r="AH51" s="993"/>
      <c r="AI51" s="993"/>
      <c r="AJ51" s="993"/>
      <c r="AK51" s="993"/>
      <c r="AL51" s="950"/>
      <c r="AM51" s="2881"/>
      <c r="AO51" s="1126"/>
      <c r="AP51" s="1126" t="str">
        <f>IF(T51="","",T51)</f>
        <v>Добавить вид теплоносителя (параметры теплоносителя)</v>
      </c>
      <c r="AQ51" s="1126"/>
      <c r="AR51" s="1126"/>
      <c r="AS51" s="1781">
        <v>11</v>
      </c>
    </row>
    <row customHeight="1" ht="11.549999999999999">
      <c r="A52" s="1989" t="s">
        <v>212</v>
      </c>
      <c r="B52" s="1989" t="s">
        <v>213</v>
      </c>
      <c r="C52" s="1989" t="s">
        <v>214</v>
      </c>
      <c r="D52" s="1989" t="s">
        <v>215</v>
      </c>
      <c r="E52" s="2885"/>
      <c r="F52" s="2885"/>
      <c r="G52" s="2885"/>
      <c r="H52" s="2885"/>
      <c r="I52" s="2882"/>
      <c r="J52" s="1989"/>
      <c r="K52" s="1989"/>
      <c r="L52" s="1990"/>
      <c r="P52" s="2883"/>
      <c r="Q52" s="1957"/>
      <c r="R52" s="982"/>
      <c r="S52" s="1904"/>
      <c r="T52" s="913" t="s">
        <v>430</v>
      </c>
      <c r="U52" s="993"/>
      <c r="V52" s="993"/>
      <c r="W52" s="993"/>
      <c r="X52" s="993"/>
      <c r="Y52" s="993"/>
      <c r="Z52" s="993"/>
      <c r="AA52" s="993"/>
      <c r="AB52" s="993"/>
      <c r="AC52" s="992"/>
      <c r="AD52" s="993"/>
      <c r="AE52" s="993"/>
      <c r="AF52" s="993"/>
      <c r="AG52" s="993"/>
      <c r="AH52" s="993"/>
      <c r="AI52" s="993"/>
      <c r="AJ52" s="993"/>
      <c r="AK52" s="992"/>
      <c r="AL52" s="993"/>
      <c r="AM52" s="929"/>
      <c r="AO52" s="1126"/>
      <c r="AP52" s="1126" t="str">
        <f>IF(T52="","",T52)</f>
        <v>Добавить группу потребителей</v>
      </c>
      <c r="AQ52" s="1126"/>
      <c r="AR52" s="1126"/>
      <c r="AS52" s="1781">
        <v>11</v>
      </c>
    </row>
    <row customHeight="1" ht="14.699999999999998">
      <c r="A53" s="1989" t="s">
        <v>212</v>
      </c>
      <c r="B53" s="1989" t="s">
        <v>213</v>
      </c>
      <c r="C53" s="1989" t="s">
        <v>214</v>
      </c>
      <c r="D53" s="1989" t="s">
        <v>215</v>
      </c>
      <c r="E53" s="2885"/>
      <c r="F53" s="2885"/>
      <c r="G53" s="2885"/>
      <c r="H53" s="2884"/>
      <c r="I53" s="1989"/>
      <c r="J53" s="1989"/>
      <c r="K53" s="1989"/>
      <c r="L53" s="1990"/>
      <c r="M53" s="1991"/>
      <c r="N53" s="1991"/>
      <c r="O53" s="1163"/>
      <c r="P53" s="986"/>
      <c r="Q53" s="1001"/>
      <c r="R53" s="981"/>
      <c r="S53" s="1904"/>
      <c r="T53" s="991" t="s">
        <v>431</v>
      </c>
      <c r="U53" s="993"/>
      <c r="V53" s="993"/>
      <c r="W53" s="993"/>
      <c r="X53" s="993"/>
      <c r="Y53" s="993"/>
      <c r="Z53" s="993"/>
      <c r="AA53" s="993"/>
      <c r="AB53" s="993"/>
      <c r="AC53" s="992"/>
      <c r="AD53" s="993"/>
      <c r="AE53" s="993"/>
      <c r="AF53" s="993"/>
      <c r="AG53" s="993"/>
      <c r="AH53" s="993"/>
      <c r="AI53" s="993"/>
      <c r="AJ53" s="993"/>
      <c r="AK53" s="992"/>
      <c r="AL53" s="993"/>
      <c r="AM53" s="929"/>
      <c r="AO53" s="1126"/>
      <c r="AP53" s="1126" t="str">
        <f>IF(T53="","",T53)</f>
        <v>Добавить схему подключения</v>
      </c>
      <c r="AQ53" s="1126"/>
      <c r="AR53" s="1126"/>
      <c r="AS53" s="1781">
        <v>14</v>
      </c>
    </row>
    <row s="34658" customFormat="1" customHeight="1" ht="1.05">
      <c r="A54" s="1969" t="s">
        <v>212</v>
      </c>
      <c r="B54" s="1969" t="s">
        <v>213</v>
      </c>
      <c r="C54" s="1969" t="s">
        <v>214</v>
      </c>
      <c r="D54" s="1940"/>
      <c r="E54" s="2885"/>
      <c r="F54" s="2885"/>
      <c r="G54" s="2884"/>
      <c r="H54" s="1940"/>
      <c r="I54" s="1940"/>
      <c r="J54" s="1940"/>
      <c r="K54" s="1940"/>
      <c r="L54" s="1965"/>
      <c r="M54" s="1941"/>
      <c r="N54" s="1941"/>
      <c r="P54" s="1942"/>
      <c r="Q54" s="1943"/>
      <c r="R54" s="1942"/>
      <c r="S54" s="1948"/>
      <c r="T54" s="1951" t="s">
        <v>432</v>
      </c>
      <c r="U54" s="1950"/>
      <c r="V54" s="1950"/>
      <c r="W54" s="1950"/>
      <c r="X54" s="1950"/>
      <c r="Y54" s="1950"/>
      <c r="Z54" s="1950"/>
      <c r="AA54" s="1950"/>
      <c r="AB54" s="1950"/>
      <c r="AC54" s="1950"/>
      <c r="AD54" s="1950"/>
      <c r="AE54" s="1950"/>
      <c r="AF54" s="1950"/>
      <c r="AG54" s="1950"/>
      <c r="AH54" s="1950"/>
      <c r="AI54" s="1950"/>
      <c r="AJ54" s="1950"/>
      <c r="AK54" s="1950"/>
      <c r="AL54" s="1950"/>
      <c r="AM54" s="1950"/>
      <c r="AO54" s="1415"/>
      <c r="AP54" s="1415" t="str">
        <f>IF(T54="","",T54)</f>
        <v>Добавить источник для дифференциации</v>
      </c>
      <c r="AQ54" s="1415"/>
      <c r="AR54" s="1415"/>
      <c r="AS54" s="1144">
        <v>1</v>
      </c>
    </row>
    <row s="34658" customFormat="1" customHeight="1" ht="1.05">
      <c r="A55" s="1969" t="s">
        <v>212</v>
      </c>
      <c r="B55" s="1969" t="s">
        <v>213</v>
      </c>
      <c r="C55" s="1940"/>
      <c r="D55" s="1940"/>
      <c r="E55" s="2885"/>
      <c r="F55" s="2884"/>
      <c r="G55" s="1940"/>
      <c r="H55" s="1940"/>
      <c r="I55" s="1940"/>
      <c r="J55" s="1940"/>
      <c r="K55" s="1940"/>
      <c r="L55" s="1965"/>
      <c r="M55" s="1947"/>
      <c r="N55" s="1947"/>
      <c r="P55" s="1942"/>
      <c r="Q55" s="1943"/>
      <c r="R55" s="1942"/>
      <c r="S55" s="1948"/>
      <c r="T55" s="1951" t="s">
        <v>433</v>
      </c>
      <c r="U55" s="1950"/>
      <c r="V55" s="1950"/>
      <c r="W55" s="1950"/>
      <c r="X55" s="1950"/>
      <c r="Y55" s="1950"/>
      <c r="Z55" s="1950"/>
      <c r="AA55" s="1950"/>
      <c r="AB55" s="1950"/>
      <c r="AC55" s="1950"/>
      <c r="AD55" s="1950"/>
      <c r="AE55" s="1950"/>
      <c r="AF55" s="1950"/>
      <c r="AG55" s="1950"/>
      <c r="AH55" s="1950"/>
      <c r="AI55" s="1950"/>
      <c r="AJ55" s="1950"/>
      <c r="AK55" s="1950"/>
      <c r="AL55" s="1950"/>
      <c r="AM55" s="1950"/>
      <c r="AO55" s="1415"/>
      <c r="AP55" s="1415" t="str">
        <f>IF(T55="","",T55)</f>
        <v>Добавить централизованную систему для дифференциации</v>
      </c>
      <c r="AQ55" s="1415"/>
      <c r="AR55" s="1415"/>
      <c r="AS55" s="1144">
        <v>1</v>
      </c>
    </row>
    <row s="34658" customFormat="1" customHeight="1" ht="1.05">
      <c r="A56" s="1969" t="s">
        <v>212</v>
      </c>
      <c r="B56" s="1969"/>
      <c r="C56" s="1969"/>
      <c r="D56" s="1969"/>
      <c r="E56" s="2884"/>
      <c r="F56" s="1969"/>
      <c r="G56" s="1969"/>
      <c r="H56" s="1969"/>
      <c r="I56" s="1969"/>
      <c r="J56" s="1969"/>
      <c r="K56" s="1969"/>
      <c r="L56" s="1972"/>
      <c r="M56" s="1947"/>
      <c r="N56" s="1947"/>
      <c r="O56" s="1144"/>
      <c r="P56" s="1006"/>
      <c r="Q56" s="1970"/>
      <c r="R56" s="1006"/>
      <c r="S56" s="1948"/>
      <c r="T56" s="1951" t="s">
        <v>434</v>
      </c>
      <c r="U56" s="1950"/>
      <c r="V56" s="1950"/>
      <c r="W56" s="1950"/>
      <c r="X56" s="1950"/>
      <c r="Y56" s="1950"/>
      <c r="Z56" s="1950"/>
      <c r="AA56" s="1950"/>
      <c r="AB56" s="1950"/>
      <c r="AC56" s="1950"/>
      <c r="AD56" s="1950"/>
      <c r="AE56" s="1950"/>
      <c r="AF56" s="1950"/>
      <c r="AG56" s="1950"/>
      <c r="AH56" s="1950"/>
      <c r="AI56" s="1950"/>
      <c r="AJ56" s="1950"/>
      <c r="AK56" s="1950"/>
      <c r="AL56" s="1950"/>
      <c r="AM56" s="1950"/>
      <c r="AO56" s="1126"/>
      <c r="AP56" s="1126" t="str">
        <f>IF(T56="","",T56)</f>
        <v>Добавить территорию для дифференциации</v>
      </c>
      <c r="AQ56" s="1126"/>
      <c r="AR56" s="1126"/>
      <c r="AS56" s="1137">
        <v>1</v>
      </c>
    </row>
    <row s="34658" customFormat="1" customHeight="1" ht="1.05">
      <c r="A57" s="1940"/>
      <c r="B57" s="1940"/>
      <c r="C57" s="1940"/>
      <c r="D57" s="1940"/>
      <c r="E57" s="1969"/>
      <c r="F57" s="1940"/>
      <c r="G57" s="1940"/>
      <c r="H57" s="1940"/>
      <c r="I57" s="1940"/>
      <c r="J57" s="1940"/>
      <c r="K57" s="1940"/>
      <c r="L57" s="1965"/>
      <c r="M57" s="1947"/>
      <c r="N57" s="1947"/>
      <c r="P57" s="1942"/>
      <c r="Q57" s="1943"/>
      <c r="R57" s="1942"/>
      <c r="S57" s="1948"/>
      <c r="T57" s="1951" t="s">
        <v>466</v>
      </c>
      <c r="U57" s="1950"/>
      <c r="V57" s="1950"/>
      <c r="W57" s="1950"/>
      <c r="X57" s="1950"/>
      <c r="Y57" s="1950"/>
      <c r="Z57" s="1950"/>
      <c r="AA57" s="1950"/>
      <c r="AB57" s="1950"/>
      <c r="AC57" s="1950"/>
      <c r="AD57" s="1950"/>
      <c r="AE57" s="1950"/>
      <c r="AF57" s="1950"/>
      <c r="AG57" s="1950"/>
      <c r="AH57" s="1950"/>
      <c r="AI57" s="1950"/>
      <c r="AJ57" s="1950"/>
      <c r="AK57" s="1950"/>
      <c r="AL57" s="1950"/>
      <c r="AM57" s="1950"/>
      <c r="AO57" s="1415"/>
      <c r="AP57" s="1415" t="str">
        <f>IF(T57="","",T57)</f>
        <v>Добавить наименование тарифа</v>
      </c>
      <c r="AQ57" s="1415"/>
      <c r="AR57" s="1415"/>
      <c r="AS57" s="1144">
        <v>1</v>
      </c>
    </row>
    <row customHeight="1" ht="11.549999999999999">
      <c r="M58" s="1786"/>
      <c r="N58" s="1786"/>
      <c r="O58" s="1163"/>
      <c r="P58" s="1781"/>
      <c r="Q58" s="1781"/>
      <c r="R58" s="1781"/>
      <c r="S58" s="1781"/>
      <c r="AN58" s="1781"/>
      <c r="AO58" s="1781"/>
      <c r="AP58" s="1781"/>
      <c r="AQ58" s="1781"/>
      <c r="AR58" s="1781"/>
      <c r="AS58" s="1781">
        <v>11</v>
      </c>
    </row>
    <row customHeight="1" ht="28.5">
      <c r="O59" s="1163"/>
      <c r="S59" s="1879"/>
      <c r="T59" s="2911"/>
      <c r="U59" s="2911"/>
      <c r="V59" s="2911"/>
      <c r="W59" s="2911"/>
      <c r="X59" s="2911"/>
      <c r="Y59" s="2911"/>
      <c r="Z59" s="2911"/>
      <c r="AA59" s="2911"/>
      <c r="AB59" s="2911"/>
      <c r="AC59" s="2911"/>
      <c r="AD59" s="2911"/>
      <c r="AE59" s="2911"/>
      <c r="AF59" s="2911"/>
      <c r="AG59" s="2911"/>
      <c r="AH59" s="2911"/>
      <c r="AI59" s="2911"/>
      <c r="AJ59" s="2911"/>
      <c r="AK59" s="2911"/>
      <c r="AL59" s="2911"/>
      <c r="AM59" s="2911"/>
      <c r="AS59" s="1781">
        <v>27</v>
      </c>
    </row>
    <row customHeight="1" ht="78.75">
      <c r="O60" s="1163"/>
      <c r="T60" s="2911"/>
      <c r="U60" s="2911"/>
      <c r="V60" s="2911"/>
      <c r="W60" s="2911"/>
      <c r="X60" s="2911"/>
      <c r="Y60" s="2911"/>
      <c r="Z60" s="2911"/>
      <c r="AA60" s="2911"/>
      <c r="AB60" s="2911"/>
      <c r="AC60" s="2911"/>
      <c r="AD60" s="2911"/>
      <c r="AE60" s="2911"/>
      <c r="AF60" s="2911"/>
      <c r="AG60" s="2911"/>
      <c r="AH60" s="2911"/>
      <c r="AI60" s="2911"/>
      <c r="AJ60" s="2911"/>
      <c r="AK60" s="2911"/>
      <c r="AL60" s="2911"/>
      <c r="AM60" s="2911"/>
      <c r="AS60" s="1781">
        <v>75</v>
      </c>
    </row>
    <row customHeight="1" ht="14.699999999999998">
      <c r="O61" s="1163"/>
      <c r="AS61" s="1781">
        <v>14</v>
      </c>
    </row>
    <row customHeight="1" ht="18.75">
      <c r="O62" s="1163"/>
      <c r="S62" s="1879"/>
      <c r="T62" s="2911"/>
      <c r="U62" s="2911"/>
      <c r="V62" s="2911"/>
      <c r="W62" s="2911"/>
      <c r="X62" s="2911"/>
      <c r="Y62" s="2911"/>
      <c r="Z62" s="2911"/>
      <c r="AA62" s="2911"/>
      <c r="AB62" s="2911"/>
      <c r="AC62" s="2911"/>
      <c r="AD62" s="2911"/>
      <c r="AE62" s="2911"/>
      <c r="AF62" s="2911"/>
      <c r="AG62" s="2911"/>
      <c r="AH62" s="2911"/>
      <c r="AI62" s="2911"/>
      <c r="AJ62" s="2911"/>
      <c r="AK62" s="2911"/>
      <c r="AL62" s="2911"/>
      <c r="AM62" s="2911"/>
      <c r="AS62" s="1781">
        <v>18</v>
      </c>
    </row>
    <row customHeight="1" ht="18.75">
      <c r="O63" s="1163"/>
      <c r="T63" s="2911"/>
      <c r="U63" s="2911"/>
      <c r="V63" s="2911"/>
      <c r="W63" s="2911"/>
      <c r="X63" s="2911"/>
      <c r="Y63" s="2911"/>
      <c r="Z63" s="2911"/>
      <c r="AA63" s="2911"/>
      <c r="AB63" s="2911"/>
      <c r="AC63" s="2911"/>
      <c r="AD63" s="2911"/>
      <c r="AE63" s="2911"/>
      <c r="AF63" s="2911"/>
      <c r="AG63" s="2911"/>
      <c r="AH63" s="2911"/>
      <c r="AI63" s="2911"/>
      <c r="AJ63" s="2911"/>
      <c r="AK63" s="2911"/>
      <c r="AL63" s="2911"/>
      <c r="AM63" s="2911"/>
      <c r="AS63" s="1781">
        <v>18</v>
      </c>
    </row>
    <row customHeight="1" ht="39.75">
      <c r="O64" s="1163"/>
      <c r="S64" s="1879"/>
      <c r="T64" s="2911"/>
      <c r="U64" s="2911"/>
      <c r="V64" s="2911"/>
      <c r="W64" s="2911"/>
      <c r="X64" s="2911"/>
      <c r="Y64" s="2911"/>
      <c r="Z64" s="2911"/>
      <c r="AA64" s="2911"/>
      <c r="AB64" s="2911"/>
      <c r="AC64" s="2911"/>
      <c r="AD64" s="2911"/>
      <c r="AE64" s="2911"/>
      <c r="AF64" s="2911"/>
      <c r="AG64" s="2911"/>
      <c r="AH64" s="2911"/>
      <c r="AI64" s="2911"/>
      <c r="AJ64" s="2911"/>
      <c r="AK64" s="2911"/>
      <c r="AL64" s="2911"/>
      <c r="AM64" s="2911"/>
      <c r="AS64" s="1781">
        <v>38</v>
      </c>
    </row>
    <row customHeight="1" ht="22.5" hidden="1">
      <c r="A65" s="1786" t="s">
        <v>82</v>
      </c>
      <c r="B65" s="1786">
        <v>0</v>
      </c>
      <c r="C65" s="1786">
        <v>0</v>
      </c>
      <c r="D65" s="1786">
        <v>0</v>
      </c>
      <c r="E65" s="1786">
        <v>0</v>
      </c>
      <c r="F65" s="1786">
        <v>0</v>
      </c>
      <c r="G65" s="1786">
        <v>0</v>
      </c>
      <c r="H65" s="1786">
        <v>0</v>
      </c>
      <c r="I65" s="1786">
        <v>0</v>
      </c>
      <c r="J65" s="1786">
        <v>0</v>
      </c>
      <c r="K65" s="1786">
        <v>0</v>
      </c>
      <c r="L65" s="1955">
        <v>0</v>
      </c>
      <c r="M65" s="1988">
        <v>0</v>
      </c>
      <c r="N65" s="1988">
        <v>0</v>
      </c>
      <c r="O65" s="1988">
        <v>0</v>
      </c>
      <c r="P65" s="1954">
        <v>3</v>
      </c>
      <c r="Q65" s="970">
        <v>3</v>
      </c>
      <c r="R65" s="970">
        <v>3</v>
      </c>
      <c r="S65" s="1207">
        <v>12</v>
      </c>
      <c r="T65" s="1781">
        <v>31</v>
      </c>
      <c r="U65" s="1781">
        <v>0</v>
      </c>
      <c r="V65" s="1781">
        <v>0</v>
      </c>
      <c r="W65" s="1781">
        <v>0</v>
      </c>
      <c r="X65" s="1781">
        <v>0</v>
      </c>
      <c r="Y65" s="1781">
        <v>0</v>
      </c>
      <c r="Z65" s="1781">
        <v>0</v>
      </c>
      <c r="AA65" s="1781">
        <v>0</v>
      </c>
      <c r="AB65" s="1781">
        <v>0</v>
      </c>
      <c r="AC65" s="1781">
        <v>0</v>
      </c>
      <c r="AD65" s="1781">
        <v>0</v>
      </c>
      <c r="AE65" s="1781">
        <v>24</v>
      </c>
      <c r="AF65" s="1781">
        <v>0</v>
      </c>
      <c r="AG65" s="1781">
        <v>0</v>
      </c>
      <c r="AH65" s="1781">
        <v>11</v>
      </c>
      <c r="AI65" s="1781">
        <v>3</v>
      </c>
      <c r="AJ65" s="1781">
        <v>11</v>
      </c>
      <c r="AK65" s="1781">
        <v>0</v>
      </c>
      <c r="AL65" s="1781">
        <v>4</v>
      </c>
      <c r="AM65" s="1781">
        <v>115</v>
      </c>
      <c r="AN65" s="1137">
        <v>10</v>
      </c>
      <c r="AO65" s="1137">
        <v>10</v>
      </c>
      <c r="AP65" s="1137">
        <v>10</v>
      </c>
      <c r="AQ65" s="1137">
        <v>10</v>
      </c>
      <c r="AR65" s="1137">
        <v>10</v>
      </c>
      <c r="AS65" s="1781">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A315D3-E87D-6B22-7D85-2B4897C45BE7}"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2.00390625" hidden="1" customWidth="1"/>
    <col min="10" max="10" style="34657" width="9.8515625" hidden="1" customWidth="1"/>
    <col min="11" max="11" style="34657" width="11.421875" hidden="1" customWidth="1"/>
    <col min="12" max="12" style="35439" width="19.140625" hidden="1" customWidth="1"/>
    <col min="13" max="14" style="35440" width="12.28125" hidden="1" customWidth="1"/>
    <col min="15" max="15" style="35440" width="23.421875" hidden="1" customWidth="1"/>
    <col min="16" max="16" style="35441" width="3.7109375" hidden="1" customWidth="1"/>
    <col min="17" max="18" style="35442" width="3.00390625" customWidth="1"/>
    <col min="19" max="19" style="35443" width="12.00390625" customWidth="1"/>
    <col min="20" max="20" style="34580" width="31.00390625" customWidth="1"/>
    <col min="21" max="21" style="34580" width="0.140625" customWidth="1"/>
    <col min="22" max="22" style="34580" width="24.7109375" hidden="1" customWidth="1"/>
    <col min="23" max="23" style="34580" width="0.140625" hidden="1" customWidth="1"/>
    <col min="24" max="25" style="34580" width="24.710937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24.7109375" customWidth="1"/>
    <col min="31" max="31" style="34580" width="0.140625" customWidth="1"/>
    <col min="32" max="33" style="34580" width="24.00390625" customWidth="1"/>
    <col min="34" max="34" style="34580" width="11.00390625" customWidth="1"/>
    <col min="35" max="35" style="34580" width="3.7109375" customWidth="1"/>
    <col min="36" max="36" style="34580" width="11.00390625" customWidth="1"/>
    <col min="37" max="37" style="34580" width="8.57421875" hidden="1" customWidth="1"/>
    <col min="38" max="38" style="34580" width="4.00390625" customWidth="1"/>
    <col min="39" max="39" style="34580" width="115.00390625" customWidth="1"/>
    <col min="40" max="44" style="34658" width="10.00390625" customWidth="1"/>
    <col min="45" max="45" style="34580" width="8.421875" hidden="1" customWidth="1"/>
  </cols>
  <sheetData>
    <row customHeight="1" ht="22.5" hidden="1">
      <c r="Y1" s="953"/>
      <c r="Z1" s="953"/>
      <c r="AG1" s="953"/>
      <c r="AH1" s="953"/>
      <c r="AS1" s="1781" t="s">
        <v>14</v>
      </c>
    </row>
    <row customHeight="1" ht="21" hidden="1">
      <c r="A2" s="1989"/>
      <c r="B2" s="1989"/>
      <c r="C2" s="1989"/>
      <c r="D2" s="1989"/>
      <c r="E2" s="2884">
        <v>1</v>
      </c>
      <c r="F2" s="1989"/>
      <c r="G2" s="1989"/>
      <c r="H2" s="1989"/>
      <c r="I2" s="1989"/>
      <c r="J2" s="1989"/>
      <c r="K2" s="1989"/>
      <c r="L2" s="1990"/>
      <c r="M2" s="1991"/>
      <c r="N2" s="1991"/>
      <c r="O2" s="1991"/>
      <c r="P2" s="987"/>
      <c r="Q2" s="986"/>
      <c r="R2" s="981"/>
      <c r="S2" s="1962">
        <f>INDEX(PT_DIFFERENTIATION_NUM_NTAR,MATCH(A2,PT_DIFFERENTIATION_NTAR_ID,0))</f>
      </c>
      <c r="T2" s="924" t="s">
        <v>143</v>
      </c>
      <c r="U2" s="926"/>
      <c r="V2" s="2868"/>
      <c r="W2" s="2869"/>
      <c r="X2" s="2869"/>
      <c r="Y2" s="2869"/>
      <c r="Z2" s="2869"/>
      <c r="AA2" s="2869"/>
      <c r="AB2" s="2869"/>
      <c r="AC2" s="2870"/>
      <c r="AD2" s="2868">
        <f>INDEX(PT_DIFFERENTIATION_NTAR,MATCH(A2,PT_DIFFERENTIATION_NTAR_ID,0))</f>
      </c>
      <c r="AE2" s="2869"/>
      <c r="AF2" s="2869"/>
      <c r="AG2" s="2869"/>
      <c r="AH2" s="2869"/>
      <c r="AI2" s="2869"/>
      <c r="AJ2" s="2869"/>
      <c r="AK2" s="2869"/>
      <c r="AL2" s="2870"/>
      <c r="AM2" s="1884" t="s">
        <v>414</v>
      </c>
      <c r="AO2" s="1126"/>
      <c r="AP2" s="1126" t="str">
        <f>IF(T2="","",T2)</f>
        <v>Наименование тарифа</v>
      </c>
      <c r="AQ2" s="1126"/>
      <c r="AR2" s="1126"/>
      <c r="AS2" s="1781">
        <v>0</v>
      </c>
    </row>
    <row customHeight="1" ht="21" hidden="1">
      <c r="A3" s="1989"/>
      <c r="B3" s="1989"/>
      <c r="C3" s="1989"/>
      <c r="D3" s="1989"/>
      <c r="E3" s="2885"/>
      <c r="F3" s="2884">
        <v>1</v>
      </c>
      <c r="G3" s="1989"/>
      <c r="H3" s="1989"/>
      <c r="I3" s="1989"/>
      <c r="J3" s="1989"/>
      <c r="K3" s="1989"/>
      <c r="L3" s="1990"/>
      <c r="M3" s="1991"/>
      <c r="N3" s="1991"/>
      <c r="O3" s="1991"/>
      <c r="P3" s="1958"/>
      <c r="Q3" s="978"/>
      <c r="R3" s="979"/>
      <c r="S3" s="1962">
        <f>INDEX(PT_DIFFERENTIATION_NUM_TER,MATCH(B3,PT_DIFFERENTIATION_TER_ID,0))</f>
      </c>
      <c r="T3" s="934" t="s">
        <v>415</v>
      </c>
      <c r="U3" s="926"/>
      <c r="V3" s="2868"/>
      <c r="W3" s="2869"/>
      <c r="X3" s="2869"/>
      <c r="Y3" s="2869"/>
      <c r="Z3" s="2869"/>
      <c r="AA3" s="2869"/>
      <c r="AB3" s="2869"/>
      <c r="AC3" s="2870"/>
      <c r="AD3" s="2868">
        <f>INDEX(PT_DIFFERENTIATION_TER,MATCH(B3,PT_DIFFERENTIATION_TER_ID,0))</f>
      </c>
      <c r="AE3" s="2869"/>
      <c r="AF3" s="2869"/>
      <c r="AG3" s="2869"/>
      <c r="AH3" s="2869"/>
      <c r="AI3" s="2869"/>
      <c r="AJ3" s="2869"/>
      <c r="AK3" s="2869"/>
      <c r="AL3" s="2870"/>
      <c r="AM3" s="1884" t="s">
        <v>416</v>
      </c>
      <c r="AO3" s="1126"/>
      <c r="AP3" s="1126" t="str">
        <f>IF(T3="","",T3)</f>
        <v>Территория действия тарифа</v>
      </c>
      <c r="AQ3" s="1126"/>
      <c r="AR3" s="1126"/>
      <c r="AS3" s="1781">
        <v>0</v>
      </c>
    </row>
    <row customHeight="1" ht="23.25" hidden="1">
      <c r="A4" s="1989"/>
      <c r="B4" s="1989"/>
      <c r="C4" s="1989"/>
      <c r="D4" s="1989"/>
      <c r="E4" s="2885"/>
      <c r="F4" s="2885"/>
      <c r="G4" s="2884">
        <v>1</v>
      </c>
      <c r="H4" s="1989"/>
      <c r="I4" s="1989"/>
      <c r="J4" s="1989"/>
      <c r="K4" s="1989"/>
      <c r="L4" s="1990"/>
      <c r="M4" s="1991"/>
      <c r="N4" s="1991"/>
      <c r="O4" s="1991"/>
      <c r="P4" s="980"/>
      <c r="Q4" s="978"/>
      <c r="R4" s="979"/>
      <c r="S4" s="1962">
        <f>INDEX(PT_DIFFERENTIATION_NUM_CS,MATCH(C4,PT_DIFFERENTIATION_CS_ID,0))</f>
      </c>
      <c r="T4" s="935" t="s">
        <v>417</v>
      </c>
      <c r="U4" s="926"/>
      <c r="V4" s="2868"/>
      <c r="W4" s="2869"/>
      <c r="X4" s="2869"/>
      <c r="Y4" s="2869"/>
      <c r="Z4" s="2869"/>
      <c r="AA4" s="2869"/>
      <c r="AB4" s="2869"/>
      <c r="AC4" s="2870"/>
      <c r="AD4" s="2868">
        <f>INDEX(PT_DIFFERENTIATION_CS,MATCH(C4,PT_DIFFERENTIATION_CS_ID,0))</f>
      </c>
      <c r="AE4" s="2869"/>
      <c r="AF4" s="2869"/>
      <c r="AG4" s="2869"/>
      <c r="AH4" s="2869"/>
      <c r="AI4" s="2869"/>
      <c r="AJ4" s="2869"/>
      <c r="AK4" s="2869"/>
      <c r="AL4" s="2870"/>
      <c r="AM4" s="1884" t="s">
        <v>418</v>
      </c>
      <c r="AO4" s="1126"/>
      <c r="AP4" s="1126" t="str">
        <f>IF(T4="","",T4)</f>
        <v>Наименование системы теплоснабжения </v>
      </c>
      <c r="AQ4" s="1126"/>
      <c r="AR4" s="1126"/>
      <c r="AS4" s="1781">
        <v>0</v>
      </c>
    </row>
    <row customHeight="1" ht="21" hidden="1">
      <c r="A5" s="1989"/>
      <c r="B5" s="1989"/>
      <c r="C5" s="1989"/>
      <c r="D5" s="1989"/>
      <c r="E5" s="2885"/>
      <c r="F5" s="2885"/>
      <c r="G5" s="2885"/>
      <c r="H5" s="2884">
        <v>1</v>
      </c>
      <c r="I5" s="1989"/>
      <c r="J5" s="1989"/>
      <c r="K5" s="1989"/>
      <c r="L5" s="1990"/>
      <c r="M5" s="1991"/>
      <c r="N5" s="1991"/>
      <c r="O5" s="1991"/>
      <c r="P5" s="980"/>
      <c r="Q5" s="978"/>
      <c r="R5" s="979"/>
      <c r="S5" s="1962">
        <f>INDEX(PT_DIFFERENTIATION_NUM_IST_TE,MATCH(D5,PT_DIFFERENTIATION_IST_TE_ID,0))</f>
      </c>
      <c r="T5" s="936" t="s">
        <v>419</v>
      </c>
      <c r="U5" s="926"/>
      <c r="V5" s="2868"/>
      <c r="W5" s="2869"/>
      <c r="X5" s="2869"/>
      <c r="Y5" s="2869"/>
      <c r="Z5" s="2869"/>
      <c r="AA5" s="2869"/>
      <c r="AB5" s="2869"/>
      <c r="AC5" s="2870"/>
      <c r="AD5" s="2868">
        <f>INDEX(PT_DIFFERENTIATION_IST_TE,MATCH(D5,PT_DIFFERENTIATION_IST_TE_ID,0))</f>
      </c>
      <c r="AE5" s="2869"/>
      <c r="AF5" s="2869"/>
      <c r="AG5" s="2869"/>
      <c r="AH5" s="2869"/>
      <c r="AI5" s="2869"/>
      <c r="AJ5" s="2869"/>
      <c r="AK5" s="2869"/>
      <c r="AL5" s="2870"/>
      <c r="AM5" s="1884" t="s">
        <v>420</v>
      </c>
      <c r="AO5" s="1126"/>
      <c r="AP5" s="1126" t="str">
        <f>IF(T5="","",T5)</f>
        <v>Источник тепловой энергии  </v>
      </c>
      <c r="AQ5" s="1126"/>
      <c r="AR5" s="1126"/>
      <c r="AS5" s="1781">
        <v>0</v>
      </c>
    </row>
    <row customHeight="1" ht="14.25" hidden="1">
      <c r="A6" s="1989"/>
      <c r="B6" s="1989"/>
      <c r="C6" s="1989"/>
      <c r="D6" s="1989"/>
      <c r="E6" s="2885"/>
      <c r="F6" s="2885"/>
      <c r="G6" s="2885"/>
      <c r="H6" s="2885"/>
      <c r="I6" s="2882">
        <f>S5&amp;".1"</f>
      </c>
      <c r="J6" s="1989"/>
      <c r="K6" s="1989"/>
      <c r="L6" s="1990" t="s">
        <v>421</v>
      </c>
      <c r="M6" s="1163"/>
      <c r="P6" s="2883">
        <v>1</v>
      </c>
      <c r="Q6" s="1957"/>
      <c r="R6" s="982"/>
      <c r="S6" s="1668"/>
      <c r="T6" s="2009"/>
      <c r="U6" s="2010"/>
      <c r="V6" s="2922"/>
      <c r="W6" s="2923"/>
      <c r="X6" s="2923"/>
      <c r="Y6" s="2923"/>
      <c r="Z6" s="2923"/>
      <c r="AA6" s="2923"/>
      <c r="AB6" s="2923"/>
      <c r="AC6" s="2924"/>
      <c r="AD6" s="2922"/>
      <c r="AE6" s="2923"/>
      <c r="AF6" s="2923"/>
      <c r="AG6" s="2923"/>
      <c r="AH6" s="2923"/>
      <c r="AI6" s="2923"/>
      <c r="AJ6" s="2923"/>
      <c r="AK6" s="2923"/>
      <c r="AL6" s="2924"/>
      <c r="AM6" s="2011"/>
      <c r="AO6" s="1126"/>
      <c r="AP6" s="1126" t="str">
        <f>IF(T6="","",T6)</f>
        <v/>
      </c>
      <c r="AQ6" s="1126"/>
      <c r="AR6" s="1126"/>
      <c r="AS6" s="1781">
        <v>0</v>
      </c>
    </row>
    <row customHeight="1" ht="21" hidden="1">
      <c r="A7" s="1989"/>
      <c r="B7" s="1989"/>
      <c r="C7" s="1989"/>
      <c r="D7" s="1989"/>
      <c r="E7" s="2885"/>
      <c r="F7" s="2885"/>
      <c r="G7" s="2885"/>
      <c r="H7" s="2885"/>
      <c r="I7" s="2912"/>
      <c r="J7" s="2882">
        <f>I6&amp;".1"</f>
      </c>
      <c r="K7" s="1989"/>
      <c r="L7" s="1990" t="s">
        <v>424</v>
      </c>
      <c r="M7" s="1163"/>
      <c r="N7" s="1992"/>
      <c r="P7" s="2883"/>
      <c r="Q7" s="2883">
        <v>1</v>
      </c>
      <c r="R7" s="983"/>
      <c r="S7" s="1962">
        <f>$J7</f>
      </c>
      <c r="T7" s="912" t="s">
        <v>425</v>
      </c>
      <c r="U7" s="926"/>
      <c r="V7" s="2871"/>
      <c r="W7" s="2872"/>
      <c r="X7" s="2872"/>
      <c r="Y7" s="2872"/>
      <c r="Z7" s="2872"/>
      <c r="AA7" s="2872"/>
      <c r="AB7" s="2872"/>
      <c r="AC7" s="2873"/>
      <c r="AD7" s="2871"/>
      <c r="AE7" s="2872"/>
      <c r="AF7" s="2872"/>
      <c r="AG7" s="2872"/>
      <c r="AH7" s="2872"/>
      <c r="AI7" s="2872"/>
      <c r="AJ7" s="2872"/>
      <c r="AK7" s="2872"/>
      <c r="AL7" s="2873"/>
      <c r="AM7" s="1884" t="s">
        <v>426</v>
      </c>
      <c r="AO7" s="1126"/>
      <c r="AP7" s="1126" t="str">
        <f>IF(T7="","",T7)</f>
        <v>Группа потребителей</v>
      </c>
      <c r="AQ7" s="1126"/>
      <c r="AR7" s="1126"/>
      <c r="AS7" s="1781">
        <v>0</v>
      </c>
    </row>
    <row customHeight="1" ht="21" hidden="1">
      <c r="A8" s="1989"/>
      <c r="B8" s="1989"/>
      <c r="C8" s="1989"/>
      <c r="D8" s="1989"/>
      <c r="E8" s="2885"/>
      <c r="F8" s="2885"/>
      <c r="G8" s="2885"/>
      <c r="H8" s="2885"/>
      <c r="I8" s="2912"/>
      <c r="J8" s="2912"/>
      <c r="K8" s="2882">
        <f>J7&amp;".1"</f>
      </c>
      <c r="L8" s="1990" t="s">
        <v>427</v>
      </c>
      <c r="M8" s="1163"/>
      <c r="N8" s="1992"/>
      <c r="O8" s="1992"/>
      <c r="P8" s="2883"/>
      <c r="Q8" s="2883"/>
      <c r="R8" s="983">
        <v>1</v>
      </c>
      <c r="S8" s="1962">
        <f>$K8</f>
      </c>
      <c r="T8" s="1973"/>
      <c r="U8" s="926"/>
      <c r="V8" s="1377"/>
      <c r="W8" s="951"/>
      <c r="X8" s="1377"/>
      <c r="Y8" s="1883"/>
      <c r="Z8" s="2891"/>
      <c r="AA8" s="2733" t="s">
        <v>66</v>
      </c>
      <c r="AB8" s="2891"/>
      <c r="AC8" s="2733" t="s">
        <v>66</v>
      </c>
      <c r="AD8" s="1377"/>
      <c r="AE8" s="951"/>
      <c r="AF8" s="1377"/>
      <c r="AG8" s="1883"/>
      <c r="AH8" s="2891"/>
      <c r="AI8" s="2733" t="s">
        <v>66</v>
      </c>
      <c r="AJ8" s="2891"/>
      <c r="AK8" s="2733" t="s">
        <v>66</v>
      </c>
      <c r="AL8" s="951"/>
      <c r="AM8" s="2879" t="s">
        <v>428</v>
      </c>
      <c r="AN8" s="1137">
        <f>STRCHECKDATE(V9:AL9)</f>
      </c>
      <c r="AO8" s="1126"/>
      <c r="AP8" s="1126" t="str">
        <f>IF(T8="","",T8)</f>
        <v/>
      </c>
      <c r="AQ8" s="1126"/>
      <c r="AR8" s="1126"/>
      <c r="AS8" s="1781">
        <v>0</v>
      </c>
    </row>
    <row customHeight="1" ht="0.75" hidden="1">
      <c r="A9" s="1989"/>
      <c r="B9" s="1989"/>
      <c r="C9" s="1989"/>
      <c r="D9" s="1989"/>
      <c r="E9" s="2885"/>
      <c r="F9" s="2885"/>
      <c r="G9" s="2885"/>
      <c r="H9" s="2885"/>
      <c r="I9" s="2912"/>
      <c r="J9" s="2912"/>
      <c r="K9" s="2882"/>
      <c r="L9" s="1990"/>
      <c r="M9" s="1163"/>
      <c r="N9" s="1992"/>
      <c r="O9" s="1992"/>
      <c r="P9" s="2883"/>
      <c r="Q9" s="2883"/>
      <c r="R9" s="983"/>
      <c r="S9" s="1968"/>
      <c r="T9" s="926"/>
      <c r="U9" s="926"/>
      <c r="V9" s="951"/>
      <c r="W9" s="951"/>
      <c r="X9" s="951"/>
      <c r="Y9" s="954" t="str">
        <f>Z8&amp;"-"&amp;AB8</f>
        <v>-</v>
      </c>
      <c r="Z9" s="2892"/>
      <c r="AA9" s="2733"/>
      <c r="AB9" s="2892"/>
      <c r="AC9" s="2733"/>
      <c r="AD9" s="951"/>
      <c r="AE9" s="951"/>
      <c r="AF9" s="951"/>
      <c r="AG9" s="954" t="str">
        <f>AH8&amp;"-"&amp;AJ8</f>
        <v>-</v>
      </c>
      <c r="AH9" s="2892"/>
      <c r="AI9" s="2733"/>
      <c r="AJ9" s="2892"/>
      <c r="AK9" s="2733"/>
      <c r="AL9" s="951"/>
      <c r="AM9" s="2880"/>
      <c r="AO9" s="1126"/>
      <c r="AP9" s="1126" t="str">
        <f>IF(T9="","",T9)</f>
        <v/>
      </c>
      <c r="AQ9" s="1126"/>
      <c r="AR9" s="1126"/>
      <c r="AS9" s="1781">
        <v>0</v>
      </c>
    </row>
    <row customHeight="1" ht="15" hidden="1">
      <c r="A10" s="1989"/>
      <c r="B10" s="1989"/>
      <c r="C10" s="1989"/>
      <c r="D10" s="1989"/>
      <c r="E10" s="2885"/>
      <c r="F10" s="2885"/>
      <c r="G10" s="2885"/>
      <c r="H10" s="2885"/>
      <c r="I10" s="2912"/>
      <c r="J10" s="2882"/>
      <c r="K10" s="1989"/>
      <c r="L10" s="1990"/>
      <c r="M10" s="1163"/>
      <c r="N10" s="1992"/>
      <c r="P10" s="2883"/>
      <c r="Q10" s="2883"/>
      <c r="R10" s="982"/>
      <c r="S10" s="1904"/>
      <c r="T10" s="913" t="s">
        <v>429</v>
      </c>
      <c r="U10" s="993"/>
      <c r="V10" s="993"/>
      <c r="W10" s="993"/>
      <c r="X10" s="993"/>
      <c r="Y10" s="993"/>
      <c r="Z10" s="993"/>
      <c r="AA10" s="993"/>
      <c r="AB10" s="993"/>
      <c r="AC10" s="993"/>
      <c r="AD10" s="993"/>
      <c r="AE10" s="993"/>
      <c r="AF10" s="993"/>
      <c r="AG10" s="993"/>
      <c r="AH10" s="993"/>
      <c r="AI10" s="993"/>
      <c r="AJ10" s="993"/>
      <c r="AK10" s="993"/>
      <c r="AL10" s="950"/>
      <c r="AM10" s="2881"/>
      <c r="AO10" s="1126"/>
      <c r="AP10" s="1126" t="str">
        <f>IF(T10="","",T10)</f>
        <v>Добавить вид теплоносителя (параметры теплоносителя)</v>
      </c>
      <c r="AQ10" s="1126"/>
      <c r="AR10" s="1126"/>
      <c r="AS10" s="1781">
        <v>0</v>
      </c>
    </row>
    <row customHeight="1" ht="15" hidden="1">
      <c r="A11" s="1989"/>
      <c r="B11" s="1989"/>
      <c r="C11" s="1989"/>
      <c r="D11" s="1989"/>
      <c r="E11" s="2885"/>
      <c r="F11" s="2885"/>
      <c r="G11" s="2885"/>
      <c r="H11" s="2885"/>
      <c r="I11" s="2882"/>
      <c r="J11" s="1989"/>
      <c r="K11" s="1989"/>
      <c r="L11" s="1990"/>
      <c r="M11" s="1163"/>
      <c r="P11" s="2883"/>
      <c r="Q11" s="1957"/>
      <c r="R11" s="982"/>
      <c r="S11" s="1904"/>
      <c r="T11" s="991" t="s">
        <v>430</v>
      </c>
      <c r="U11" s="993"/>
      <c r="V11" s="993"/>
      <c r="W11" s="993"/>
      <c r="X11" s="993"/>
      <c r="Y11" s="993"/>
      <c r="Z11" s="993"/>
      <c r="AA11" s="993"/>
      <c r="AB11" s="993"/>
      <c r="AC11" s="992"/>
      <c r="AD11" s="993"/>
      <c r="AE11" s="993"/>
      <c r="AF11" s="993"/>
      <c r="AG11" s="993"/>
      <c r="AH11" s="993"/>
      <c r="AI11" s="993"/>
      <c r="AJ11" s="993"/>
      <c r="AK11" s="992"/>
      <c r="AL11" s="993"/>
      <c r="AM11" s="929"/>
      <c r="AO11" s="1126"/>
      <c r="AP11" s="1126" t="str">
        <f>IF(T11="","",T11)</f>
        <v>Добавить группу потребителей</v>
      </c>
      <c r="AQ11" s="1126"/>
      <c r="AR11" s="1126"/>
      <c r="AS11" s="1781">
        <v>0</v>
      </c>
    </row>
    <row customHeight="1" ht="14.25" hidden="1">
      <c r="A12" s="1989"/>
      <c r="B12" s="1989"/>
      <c r="C12" s="1989"/>
      <c r="D12" s="1989"/>
      <c r="E12" s="2885"/>
      <c r="F12" s="2885"/>
      <c r="G12" s="2885"/>
      <c r="H12" s="2884"/>
      <c r="I12" s="1989"/>
      <c r="J12" s="1989"/>
      <c r="K12" s="1989"/>
      <c r="L12" s="1990"/>
      <c r="M12" s="1991"/>
      <c r="N12" s="1991"/>
      <c r="O12" s="1163"/>
      <c r="P12" s="986"/>
      <c r="Q12" s="1001"/>
      <c r="R12" s="981"/>
      <c r="S12" s="2012"/>
      <c r="T12" s="2013"/>
      <c r="U12" s="2014"/>
      <c r="V12" s="2014"/>
      <c r="W12" s="2014"/>
      <c r="X12" s="2014"/>
      <c r="Y12" s="2014"/>
      <c r="Z12" s="2014"/>
      <c r="AA12" s="2014"/>
      <c r="AB12" s="2014"/>
      <c r="AC12" s="2014"/>
      <c r="AD12" s="2014"/>
      <c r="AE12" s="2014"/>
      <c r="AF12" s="2014"/>
      <c r="AG12" s="2014"/>
      <c r="AH12" s="2014"/>
      <c r="AI12" s="2014"/>
      <c r="AJ12" s="2014"/>
      <c r="AK12" s="2014"/>
      <c r="AL12" s="2014"/>
      <c r="AM12" s="2015"/>
      <c r="AO12" s="1126"/>
      <c r="AP12" s="1126" t="str">
        <f>IF(T12="","",T12)</f>
        <v/>
      </c>
      <c r="AQ12" s="1126"/>
      <c r="AR12" s="1126"/>
      <c r="AS12" s="1781">
        <v>0</v>
      </c>
    </row>
    <row s="34658" customFormat="1" customHeight="1" ht="0.75" hidden="1">
      <c r="A13" s="1940"/>
      <c r="B13" s="1940"/>
      <c r="C13" s="1940"/>
      <c r="D13" s="1940"/>
      <c r="E13" s="2885"/>
      <c r="F13" s="2885"/>
      <c r="G13" s="2884"/>
      <c r="H13" s="1940"/>
      <c r="I13" s="1940"/>
      <c r="J13" s="1940"/>
      <c r="K13" s="1940"/>
      <c r="L13" s="1965"/>
      <c r="M13" s="1941"/>
      <c r="N13" s="1941"/>
      <c r="P13" s="1942"/>
      <c r="Q13" s="1943"/>
      <c r="R13" s="1942"/>
      <c r="S13" s="1944"/>
      <c r="T13" s="1945" t="s">
        <v>432</v>
      </c>
      <c r="U13" s="1946"/>
      <c r="V13" s="1946"/>
      <c r="W13" s="1946"/>
      <c r="X13" s="1946"/>
      <c r="Y13" s="1946"/>
      <c r="Z13" s="1946"/>
      <c r="AA13" s="1946"/>
      <c r="AB13" s="1946"/>
      <c r="AC13" s="1946"/>
      <c r="AD13" s="1946"/>
      <c r="AE13" s="1946"/>
      <c r="AF13" s="1946"/>
      <c r="AG13" s="1946"/>
      <c r="AH13" s="1946"/>
      <c r="AI13" s="1946"/>
      <c r="AJ13" s="1946"/>
      <c r="AK13" s="1946"/>
      <c r="AL13" s="1946"/>
      <c r="AM13" s="1946"/>
      <c r="AO13" s="1415"/>
      <c r="AP13" s="1415" t="str">
        <f>IF(T13="","",T13)</f>
        <v>Добавить источник для дифференциации</v>
      </c>
      <c r="AQ13" s="1415"/>
      <c r="AR13" s="1415"/>
      <c r="AS13" s="1144">
        <v>0</v>
      </c>
    </row>
    <row s="34658" customFormat="1" customHeight="1" ht="0.75" hidden="1">
      <c r="A14" s="1940"/>
      <c r="B14" s="1940"/>
      <c r="C14" s="1940"/>
      <c r="D14" s="1940"/>
      <c r="E14" s="2885"/>
      <c r="F14" s="2884"/>
      <c r="G14" s="1940"/>
      <c r="H14" s="1940"/>
      <c r="I14" s="1940"/>
      <c r="J14" s="1940"/>
      <c r="K14" s="1940"/>
      <c r="L14" s="1965"/>
      <c r="M14" s="1947"/>
      <c r="N14" s="1947"/>
      <c r="P14" s="1942"/>
      <c r="Q14" s="1943"/>
      <c r="R14" s="1942"/>
      <c r="S14" s="1948"/>
      <c r="T14" s="1949" t="s">
        <v>433</v>
      </c>
      <c r="U14" s="1950"/>
      <c r="V14" s="1950"/>
      <c r="W14" s="1950"/>
      <c r="X14" s="1950"/>
      <c r="Y14" s="1950"/>
      <c r="Z14" s="1950"/>
      <c r="AA14" s="1950"/>
      <c r="AB14" s="1950"/>
      <c r="AC14" s="1950"/>
      <c r="AD14" s="1950"/>
      <c r="AE14" s="1950"/>
      <c r="AF14" s="1950"/>
      <c r="AG14" s="1950"/>
      <c r="AH14" s="1950"/>
      <c r="AI14" s="1950"/>
      <c r="AJ14" s="1950"/>
      <c r="AK14" s="1950"/>
      <c r="AL14" s="1950"/>
      <c r="AM14" s="1950"/>
      <c r="AO14" s="1415"/>
      <c r="AP14" s="1415" t="str">
        <f>IF(T14="","",T14)</f>
        <v>Добавить централизованную систему для дифференциации</v>
      </c>
      <c r="AQ14" s="1415"/>
      <c r="AR14" s="1415"/>
      <c r="AS14" s="1144">
        <v>0</v>
      </c>
    </row>
    <row s="34658" customFormat="1" customHeight="1" ht="0.75" hidden="1">
      <c r="A15" s="1940"/>
      <c r="B15" s="1940"/>
      <c r="C15" s="1940"/>
      <c r="D15" s="1940"/>
      <c r="E15" s="2884"/>
      <c r="F15" s="1940"/>
      <c r="G15" s="1940"/>
      <c r="H15" s="1940"/>
      <c r="I15" s="1940"/>
      <c r="J15" s="1940"/>
      <c r="K15" s="1940"/>
      <c r="L15" s="1965"/>
      <c r="M15" s="1947"/>
      <c r="N15" s="1947"/>
      <c r="P15" s="1942"/>
      <c r="Q15" s="1943"/>
      <c r="R15" s="1942"/>
      <c r="S15" s="1948"/>
      <c r="T15" s="1951" t="s">
        <v>434</v>
      </c>
      <c r="U15" s="1950"/>
      <c r="V15" s="1950"/>
      <c r="W15" s="1950"/>
      <c r="X15" s="1950"/>
      <c r="Y15" s="1950"/>
      <c r="Z15" s="1950"/>
      <c r="AA15" s="1950"/>
      <c r="AB15" s="1950"/>
      <c r="AC15" s="1950"/>
      <c r="AD15" s="1950"/>
      <c r="AE15" s="1950"/>
      <c r="AF15" s="1950"/>
      <c r="AG15" s="1950"/>
      <c r="AH15" s="1950"/>
      <c r="AI15" s="1950"/>
      <c r="AJ15" s="1950"/>
      <c r="AK15" s="1950"/>
      <c r="AL15" s="1950"/>
      <c r="AM15" s="1950"/>
      <c r="AO15" s="1415"/>
      <c r="AP15" s="1415" t="str">
        <f>IF(T15="","",T15)</f>
        <v>Добавить территорию для дифференциации</v>
      </c>
      <c r="AQ15" s="1415"/>
      <c r="AR15" s="1415"/>
      <c r="AS15" s="1144">
        <v>0</v>
      </c>
    </row>
    <row customHeight="1" ht="14.25" hidden="1">
      <c r="AC16" s="953"/>
      <c r="AK16" s="953"/>
      <c r="AS16" s="1781">
        <v>0</v>
      </c>
    </row>
    <row customHeight="1" ht="14.25" hidden="1">
      <c r="AD17" s="1986"/>
      <c r="AE17" s="1986"/>
      <c r="AF17" s="1986"/>
      <c r="AG17" s="1987"/>
      <c r="AH17" s="2893"/>
      <c r="AI17" s="2894" t="s">
        <v>66</v>
      </c>
      <c r="AJ17" s="2893"/>
      <c r="AK17" s="2894" t="s">
        <v>66</v>
      </c>
      <c r="AS17" s="1781">
        <v>0</v>
      </c>
    </row>
    <row customHeight="1" ht="14.25" hidden="1">
      <c r="AD18" s="1986"/>
      <c r="AE18" s="1986"/>
      <c r="AF18" s="1986"/>
      <c r="AG18" s="954" t="str">
        <f>AH17&amp;"-"&amp;AJ17</f>
        <v>-</v>
      </c>
      <c r="AH18" s="2894"/>
      <c r="AI18" s="2894"/>
      <c r="AJ18" s="2894"/>
      <c r="AK18" s="2894"/>
      <c r="AS18" s="1781">
        <v>0</v>
      </c>
    </row>
    <row customHeight="1" ht="14.25" hidden="1">
      <c r="AK19" s="953"/>
      <c r="AS19" s="1781">
        <v>0</v>
      </c>
    </row>
    <row s="34657" customFormat="1" customHeight="1" ht="22.5" hidden="1">
      <c r="L20" s="1955"/>
      <c r="M20" s="1988"/>
      <c r="N20" s="1988"/>
      <c r="O20" s="1993" t="s">
        <v>435</v>
      </c>
      <c r="P20" s="1988"/>
      <c r="Q20" s="1997"/>
      <c r="R20" s="1997"/>
      <c r="S20" s="1355"/>
      <c r="Z20" s="1993"/>
      <c r="AB20" s="1993"/>
      <c r="AC20" s="1992"/>
      <c r="AH20" s="1993"/>
      <c r="AJ20" s="1993"/>
      <c r="AK20" s="1992"/>
      <c r="AN20" s="1137"/>
      <c r="AO20" s="1137"/>
      <c r="AP20" s="1137"/>
      <c r="AQ20" s="1137"/>
      <c r="AR20" s="1137"/>
      <c r="AS20" s="1786">
        <v>0</v>
      </c>
    </row>
    <row s="34657" customFormat="1" customHeight="1" ht="14.25" hidden="1">
      <c r="L21" s="1955"/>
      <c r="M21" s="1988"/>
      <c r="N21" s="1988"/>
      <c r="O21" s="1988"/>
      <c r="P21" s="1988"/>
      <c r="Q21" s="1997"/>
      <c r="R21" s="1997"/>
      <c r="S21" s="1355"/>
      <c r="AC21" s="1992"/>
      <c r="AK21" s="1992"/>
      <c r="AN21" s="1137"/>
      <c r="AO21" s="1137"/>
      <c r="AP21" s="1137"/>
      <c r="AQ21" s="1137"/>
      <c r="AR21" s="1137"/>
      <c r="AS21" s="1786">
        <v>0</v>
      </c>
    </row>
    <row s="34657" customFormat="1" customHeight="1" ht="14.25" hidden="1">
      <c r="L22" s="1955"/>
      <c r="M22" s="1988"/>
      <c r="N22" s="1988"/>
      <c r="O22" s="1990" t="s">
        <v>436</v>
      </c>
      <c r="P22" s="1988"/>
      <c r="Q22" s="1997"/>
      <c r="R22" s="1997"/>
      <c r="S22" s="1355"/>
      <c r="T22" s="1786" t="s">
        <v>437</v>
      </c>
      <c r="AA22" s="812" t="s">
        <v>438</v>
      </c>
      <c r="AC22" s="812" t="s">
        <v>439</v>
      </c>
      <c r="AD22" s="1786" t="s">
        <v>437</v>
      </c>
      <c r="AI22" s="812" t="s">
        <v>440</v>
      </c>
      <c r="AK22" s="812" t="s">
        <v>439</v>
      </c>
      <c r="AN22" s="1137"/>
      <c r="AO22" s="1137"/>
      <c r="AP22" s="1137"/>
      <c r="AQ22" s="1137"/>
      <c r="AR22" s="1137"/>
      <c r="AS22" s="1786">
        <v>0</v>
      </c>
    </row>
    <row customHeight="1" ht="14.25" hidden="1">
      <c r="O23" s="1990"/>
      <c r="AS23" s="1781">
        <v>0</v>
      </c>
    </row>
    <row customHeight="1" ht="14.25" hidden="1">
      <c r="O24" s="1990"/>
      <c r="AS24" s="1781">
        <v>0</v>
      </c>
    </row>
    <row customHeight="1" ht="14.699999999999998">
      <c r="Q25" s="1002"/>
      <c r="R25" s="1002"/>
      <c r="S25" s="1901"/>
      <c r="T25" s="989"/>
      <c r="U25" s="989"/>
      <c r="V25" s="1135"/>
      <c r="W25" s="1135"/>
      <c r="X25" s="1135"/>
      <c r="Y25" s="1135"/>
      <c r="Z25" s="1135"/>
      <c r="AA25" s="1135"/>
      <c r="AB25" s="1135"/>
      <c r="AC25" s="1135"/>
      <c r="AD25" s="1135"/>
      <c r="AE25" s="1135"/>
      <c r="AF25" s="1135"/>
      <c r="AG25" s="1135"/>
      <c r="AH25" s="1135"/>
      <c r="AI25" s="1135"/>
      <c r="AJ25" s="1135"/>
      <c r="AK25" s="1135"/>
      <c r="AS25" s="1781">
        <v>14</v>
      </c>
    </row>
    <row customHeight="1" ht="63">
      <c r="Q26" s="1002"/>
      <c r="R26" s="1002"/>
      <c r="S26" s="28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4"/>
      <c r="U26" s="2874"/>
      <c r="V26" s="2874"/>
      <c r="W26" s="2874"/>
      <c r="X26" s="2874"/>
      <c r="Y26" s="2874"/>
      <c r="Z26" s="2874"/>
      <c r="AA26" s="2874"/>
      <c r="AB26" s="2874"/>
      <c r="AC26" s="2874"/>
      <c r="AD26" s="2874"/>
      <c r="AE26" s="2874"/>
      <c r="AF26" s="2874"/>
      <c r="AG26" s="2874"/>
      <c r="AH26" s="2874"/>
      <c r="AI26" s="2874"/>
      <c r="AJ26" s="2874"/>
      <c r="AK26" s="1869"/>
      <c r="AS26" s="1781">
        <v>60</v>
      </c>
    </row>
    <row customHeight="1" ht="14.699999999999998">
      <c r="Q27" s="1002"/>
      <c r="R27" s="1002"/>
      <c r="S27" s="2875" t="str">
        <f>IF(org=0,"Не определено",org)</f>
        <v>АО "ДГК"</v>
      </c>
      <c r="T27" s="2875"/>
      <c r="U27" s="2875"/>
      <c r="V27" s="2875"/>
      <c r="W27" s="2875"/>
      <c r="X27" s="2875"/>
      <c r="Y27" s="2875"/>
      <c r="Z27" s="2875"/>
      <c r="AA27" s="2875"/>
      <c r="AB27" s="2875"/>
      <c r="AC27" s="2875"/>
      <c r="AD27" s="2875"/>
      <c r="AE27" s="2875"/>
      <c r="AF27" s="2875"/>
      <c r="AG27" s="2875"/>
      <c r="AH27" s="2875"/>
      <c r="AI27" s="2875"/>
      <c r="AJ27" s="2875"/>
      <c r="AK27" s="1869"/>
      <c r="AS27" s="1781">
        <v>14</v>
      </c>
    </row>
    <row customHeight="1" ht="14.25" hidden="1">
      <c r="Q28" s="1002"/>
      <c r="R28" s="1002"/>
      <c r="S28" s="1901"/>
      <c r="T28" s="989"/>
      <c r="U28" s="989"/>
      <c r="V28" s="948"/>
      <c r="W28" s="948"/>
      <c r="X28" s="948"/>
      <c r="Y28" s="948"/>
      <c r="Z28" s="948"/>
      <c r="AA28" s="948"/>
      <c r="AB28" s="948"/>
      <c r="AC28" s="948"/>
      <c r="AD28" s="948"/>
      <c r="AE28" s="948"/>
      <c r="AF28" s="948"/>
      <c r="AG28" s="948"/>
      <c r="AH28" s="948"/>
      <c r="AI28" s="948"/>
      <c r="AJ28" s="948"/>
      <c r="AK28" s="948"/>
      <c r="AL28" s="1135"/>
      <c r="AS28" s="1781">
        <v>0</v>
      </c>
    </row>
    <row s="34794" customFormat="1" customHeight="1" ht="25.5" hidden="1">
      <c r="A29" s="1994"/>
      <c r="B29" s="1994"/>
      <c r="C29" s="1994"/>
      <c r="D29" s="1994"/>
      <c r="E29" s="1994"/>
      <c r="F29" s="1994"/>
      <c r="G29" s="1994"/>
      <c r="H29" s="1994"/>
      <c r="I29" s="1994"/>
      <c r="J29" s="1994"/>
      <c r="K29" s="1994"/>
      <c r="L29" s="1995"/>
      <c r="M29" s="1994"/>
      <c r="N29" s="1994"/>
      <c r="O29" s="1994"/>
      <c r="S29" s="2876" t="s">
        <v>42</v>
      </c>
      <c r="T29" s="2876"/>
      <c r="U29" s="1998"/>
      <c r="V29" s="2877" t="str">
        <f>IF(TITLE_NAME_OR_PR_CHANGE="",IF(TITLE_NAME_OR_PR="","",TITLE_NAME_OR_PR),TITLE_NAME_OR_PR_CHANGE)</f>
        <v/>
      </c>
      <c r="W29" s="2877"/>
      <c r="X29" s="2877"/>
      <c r="Y29" s="2877"/>
      <c r="Z29" s="2877"/>
      <c r="AA29" s="2877"/>
      <c r="AB29" s="2877"/>
      <c r="AC29" s="952"/>
      <c r="AD29" s="2877" t="str">
        <f>IF(TITLE_NAME_OR_PR_CHANGE="",IF(TITLE_NAME_OR_PR="","",TITLE_NAME_OR_PR),TITLE_NAME_OR_PR_CHANGE)</f>
        <v/>
      </c>
      <c r="AE29" s="2877"/>
      <c r="AF29" s="2877"/>
      <c r="AG29" s="2877"/>
      <c r="AH29" s="2877"/>
      <c r="AI29" s="2877"/>
      <c r="AJ29" s="2877"/>
      <c r="AK29" s="952"/>
      <c r="AL29" s="952"/>
      <c r="AM29" s="906"/>
      <c r="AN29" s="994"/>
      <c r="AO29" s="994"/>
      <c r="AP29" s="994"/>
      <c r="AQ29" s="994"/>
      <c r="AR29" s="994"/>
      <c r="AS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441</v>
      </c>
      <c r="T30" s="2876"/>
      <c r="U30" s="1998"/>
      <c r="V30" s="2890" t="str">
        <f>IF(TITLE_DATE_PR_CHANGE="",IF(TITLE_DATE_PR="","",TITLE_DATE_PR),TITLE_DATE_PR_CHANGE)</f>
        <v/>
      </c>
      <c r="W30" s="2890"/>
      <c r="X30" s="2890"/>
      <c r="Y30" s="2890"/>
      <c r="Z30" s="2890"/>
      <c r="AA30" s="2890"/>
      <c r="AB30" s="2890"/>
      <c r="AC30" s="952"/>
      <c r="AD30" s="2890" t="str">
        <f>IF(TITLE_DATE_PR_CHANGE="",IF(TITLE_DATE_PR="","",TITLE_DATE_PR),TITLE_DATE_PR_CHANGE)</f>
        <v/>
      </c>
      <c r="AE30" s="2890"/>
      <c r="AF30" s="2890"/>
      <c r="AG30" s="2890"/>
      <c r="AH30" s="2890"/>
      <c r="AI30" s="2890"/>
      <c r="AJ30" s="2890"/>
      <c r="AK30" s="952"/>
      <c r="AL30" s="952"/>
      <c r="AM30" s="906"/>
      <c r="AN30" s="994"/>
      <c r="AO30" s="994"/>
      <c r="AP30" s="994"/>
      <c r="AQ30" s="994"/>
      <c r="AR30" s="994"/>
      <c r="AS30" s="1044">
        <v>0</v>
      </c>
    </row>
    <row s="34794" customFormat="1" customHeight="1" ht="18.75" hidden="1">
      <c r="A31" s="1994"/>
      <c r="B31" s="1994"/>
      <c r="C31" s="1994"/>
      <c r="D31" s="1994"/>
      <c r="E31" s="1994"/>
      <c r="F31" s="1994"/>
      <c r="G31" s="1994"/>
      <c r="H31" s="1994"/>
      <c r="I31" s="1994"/>
      <c r="J31" s="1994"/>
      <c r="K31" s="1994"/>
      <c r="L31" s="1995"/>
      <c r="M31" s="1994"/>
      <c r="N31" s="1994"/>
      <c r="O31" s="1994"/>
      <c r="S31" s="2876" t="s">
        <v>442</v>
      </c>
      <c r="T31" s="2876"/>
      <c r="U31" s="1998"/>
      <c r="V31" s="2877" t="str">
        <f>IF(TITLE_NUMBER_PR_CHANGE="",IF(TITLE_NUMBER_PR="","",TITLE_NUMBER_PR),TITLE_NUMBER_PR_CHANGE)</f>
        <v/>
      </c>
      <c r="W31" s="2877"/>
      <c r="X31" s="2877"/>
      <c r="Y31" s="2877"/>
      <c r="Z31" s="2877"/>
      <c r="AA31" s="2877"/>
      <c r="AB31" s="2877"/>
      <c r="AC31" s="952"/>
      <c r="AD31" s="2877" t="str">
        <f>IF(TITLE_NUMBER_PR_CHANGE="",IF(TITLE_NUMBER_PR="","",TITLE_NUMBER_PR),TITLE_NUMBER_PR_CHANGE)</f>
        <v/>
      </c>
      <c r="AE31" s="2877"/>
      <c r="AF31" s="2877"/>
      <c r="AG31" s="2877"/>
      <c r="AH31" s="2877"/>
      <c r="AI31" s="2877"/>
      <c r="AJ31" s="2877"/>
      <c r="AK31" s="952"/>
      <c r="AL31" s="952"/>
      <c r="AM31" s="906"/>
      <c r="AN31" s="994"/>
      <c r="AO31" s="994"/>
      <c r="AP31" s="994"/>
      <c r="AQ31" s="994"/>
      <c r="AR31" s="994"/>
      <c r="AS31" s="1044">
        <v>0</v>
      </c>
    </row>
    <row s="34794" customFormat="1" customHeight="1" ht="18.75" hidden="1">
      <c r="A32" s="1994"/>
      <c r="B32" s="1994"/>
      <c r="C32" s="1994"/>
      <c r="D32" s="1994"/>
      <c r="E32" s="1994"/>
      <c r="F32" s="1994"/>
      <c r="G32" s="1994"/>
      <c r="H32" s="1994"/>
      <c r="I32" s="1994"/>
      <c r="J32" s="1994"/>
      <c r="K32" s="1994"/>
      <c r="L32" s="1995"/>
      <c r="M32" s="1994"/>
      <c r="N32" s="1994"/>
      <c r="O32" s="1994"/>
      <c r="S32" s="2876" t="s">
        <v>43</v>
      </c>
      <c r="T32" s="2876"/>
      <c r="U32" s="1998"/>
      <c r="V32" s="2877" t="str">
        <f>IF(TITLE_IST_PUB_CHANGE="",IF(TITLE_IST_PUB="","",TITLE_IST_PUB),TITLE_IST_PUB_CHANGE)</f>
        <v/>
      </c>
      <c r="W32" s="2877"/>
      <c r="X32" s="2877"/>
      <c r="Y32" s="2877"/>
      <c r="Z32" s="2877"/>
      <c r="AA32" s="2877"/>
      <c r="AB32" s="2877"/>
      <c r="AC32" s="952"/>
      <c r="AD32" s="2877" t="str">
        <f>IF(TITLE_IST_PUB_CHANGE="",IF(TITLE_IST_PUB="","",TITLE_IST_PUB),TITLE_IST_PUB_CHANGE)</f>
        <v/>
      </c>
      <c r="AE32" s="2877"/>
      <c r="AF32" s="2877"/>
      <c r="AG32" s="2877"/>
      <c r="AH32" s="2877"/>
      <c r="AI32" s="2877"/>
      <c r="AJ32" s="2877"/>
      <c r="AK32" s="952"/>
      <c r="AL32" s="952"/>
      <c r="AM32" s="906"/>
      <c r="AN32" s="994"/>
      <c r="AO32" s="994"/>
      <c r="AP32" s="994"/>
      <c r="AQ32" s="994"/>
      <c r="AR32" s="994"/>
      <c r="AS32" s="1044">
        <v>0</v>
      </c>
    </row>
    <row customHeight="1" ht="14.25" hidden="1">
      <c r="Q33" s="1002"/>
      <c r="R33" s="1002"/>
      <c r="S33" s="1901"/>
      <c r="T33" s="989"/>
      <c r="U33" s="989"/>
      <c r="V33" s="948"/>
      <c r="W33" s="948"/>
      <c r="X33" s="948"/>
      <c r="Y33" s="948"/>
      <c r="Z33" s="948"/>
      <c r="AA33" s="948"/>
      <c r="AB33" s="948"/>
      <c r="AC33" s="948"/>
      <c r="AD33" s="948"/>
      <c r="AE33" s="948"/>
      <c r="AF33" s="948"/>
      <c r="AG33" s="948"/>
      <c r="AH33" s="948"/>
      <c r="AI33" s="948"/>
      <c r="AJ33" s="948"/>
      <c r="AK33" s="948"/>
      <c r="AL33" s="1135"/>
      <c r="AS33" s="1781">
        <v>0</v>
      </c>
    </row>
    <row s="34794" customFormat="1" customHeight="1" ht="18.75" hidden="1">
      <c r="A34" s="1994"/>
      <c r="B34" s="1994"/>
      <c r="C34" s="1994"/>
      <c r="D34" s="1994"/>
      <c r="E34" s="1994"/>
      <c r="F34" s="1994"/>
      <c r="G34" s="1994"/>
      <c r="H34" s="1994"/>
      <c r="I34" s="1994"/>
      <c r="J34" s="1994"/>
      <c r="K34" s="1994"/>
      <c r="L34" s="1995"/>
      <c r="M34" s="1994"/>
      <c r="N34" s="1994"/>
      <c r="O34" s="1994"/>
      <c r="S34" s="2876" t="s">
        <v>443</v>
      </c>
      <c r="T34" s="2876"/>
      <c r="U34" s="1998"/>
      <c r="V34" s="2890" t="str">
        <f>IF(TITLE_DATE_PR_CHANGE="",IF(TITLE_DATE_PR="","",TITLE_DATE_PR),TITLE_DATE_PR_CHANGE)</f>
        <v/>
      </c>
      <c r="W34" s="2890"/>
      <c r="X34" s="2890"/>
      <c r="Y34" s="2890"/>
      <c r="Z34" s="2890"/>
      <c r="AA34" s="2890"/>
      <c r="AB34" s="2890"/>
      <c r="AC34" s="952"/>
      <c r="AD34" s="2890" t="str">
        <f>IF(TITLE_DATE_PR_CHANGE="",IF(TITLE_DATE_PR="","",TITLE_DATE_PR),TITLE_DATE_PR_CHANGE)</f>
        <v/>
      </c>
      <c r="AE34" s="2890"/>
      <c r="AF34" s="2890"/>
      <c r="AG34" s="2890"/>
      <c r="AH34" s="2890"/>
      <c r="AI34" s="2890"/>
      <c r="AJ34" s="2890"/>
      <c r="AK34" s="952"/>
      <c r="AL34" s="952"/>
      <c r="AM34" s="906"/>
      <c r="AN34" s="994"/>
      <c r="AO34" s="994"/>
      <c r="AP34" s="994"/>
      <c r="AQ34" s="994"/>
      <c r="AR34" s="994"/>
      <c r="AS34" s="1044">
        <v>0</v>
      </c>
    </row>
    <row s="34794" customFormat="1" customHeight="1" ht="18.75" hidden="1">
      <c r="A35" s="1994"/>
      <c r="B35" s="1994"/>
      <c r="C35" s="1994"/>
      <c r="D35" s="1994"/>
      <c r="E35" s="1994"/>
      <c r="F35" s="1994"/>
      <c r="G35" s="1994"/>
      <c r="H35" s="1994"/>
      <c r="I35" s="1994"/>
      <c r="J35" s="1994"/>
      <c r="K35" s="1994"/>
      <c r="L35" s="1995"/>
      <c r="M35" s="1994"/>
      <c r="N35" s="1994"/>
      <c r="O35" s="1994"/>
      <c r="S35" s="2876" t="s">
        <v>444</v>
      </c>
      <c r="T35" s="2876"/>
      <c r="U35" s="1998"/>
      <c r="V35" s="2877" t="str">
        <f>IF(TITLE_NUMBER_PR_CHANGE="",IF(TITLE_NUMBER_PR="","",TITLE_NUMBER_PR),TITLE_NUMBER_PR_CHANGE)</f>
        <v/>
      </c>
      <c r="W35" s="2877"/>
      <c r="X35" s="2877"/>
      <c r="Y35" s="2877"/>
      <c r="Z35" s="2877"/>
      <c r="AA35" s="2877"/>
      <c r="AB35" s="2877"/>
      <c r="AC35" s="952"/>
      <c r="AD35" s="2877" t="str">
        <f>IF(TITLE_NUMBER_PR_CHANGE="",IF(TITLE_NUMBER_PR="","",TITLE_NUMBER_PR),TITLE_NUMBER_PR_CHANGE)</f>
        <v/>
      </c>
      <c r="AE35" s="2877"/>
      <c r="AF35" s="2877"/>
      <c r="AG35" s="2877"/>
      <c r="AH35" s="2877"/>
      <c r="AI35" s="2877"/>
      <c r="AJ35" s="2877"/>
      <c r="AK35" s="952"/>
      <c r="AL35" s="952"/>
      <c r="AM35" s="906"/>
      <c r="AN35" s="994"/>
      <c r="AO35" s="994"/>
      <c r="AP35" s="994"/>
      <c r="AQ35" s="994"/>
      <c r="AR35" s="994"/>
      <c r="AS35" s="1044">
        <v>0</v>
      </c>
    </row>
    <row s="34794" customFormat="1" customHeight="1" ht="0">
      <c r="A36" s="1994"/>
      <c r="B36" s="1994"/>
      <c r="C36" s="1994"/>
      <c r="D36" s="1994"/>
      <c r="E36" s="1994"/>
      <c r="F36" s="1994"/>
      <c r="G36" s="1994"/>
      <c r="H36" s="1994"/>
      <c r="I36" s="1994"/>
      <c r="J36" s="1994"/>
      <c r="K36" s="1994"/>
      <c r="L36" s="1995"/>
      <c r="M36" s="1994"/>
      <c r="N36" s="1994"/>
      <c r="O36" s="1994"/>
      <c r="S36" s="949"/>
      <c r="T36" s="949"/>
      <c r="U36" s="1966"/>
      <c r="V36" s="952"/>
      <c r="W36" s="952"/>
      <c r="X36" s="952"/>
      <c r="Y36" s="952"/>
      <c r="Z36" s="952"/>
      <c r="AA36" s="952"/>
      <c r="AB36" s="952"/>
      <c r="AC36" s="904" t="s">
        <v>445</v>
      </c>
      <c r="AD36" s="952"/>
      <c r="AE36" s="952"/>
      <c r="AF36" s="952"/>
      <c r="AG36" s="952"/>
      <c r="AH36" s="952"/>
      <c r="AI36" s="952"/>
      <c r="AJ36" s="952"/>
      <c r="AK36" s="904" t="s">
        <v>445</v>
      </c>
      <c r="AN36" s="994"/>
      <c r="AO36" s="994"/>
      <c r="AP36" s="994"/>
      <c r="AQ36" s="994"/>
      <c r="AR36" s="994"/>
      <c r="AS36" s="1044">
        <v>0</v>
      </c>
    </row>
    <row customHeight="1" ht="14.699999999999998">
      <c r="Q37" s="1002"/>
      <c r="R37" s="1002"/>
      <c r="S37" s="1901"/>
      <c r="T37" s="989"/>
      <c r="U37" s="1870"/>
      <c r="V37" s="2878"/>
      <c r="W37" s="2878"/>
      <c r="X37" s="2878"/>
      <c r="Y37" s="2878"/>
      <c r="Z37" s="2878"/>
      <c r="AA37" s="2878"/>
      <c r="AB37" s="2878"/>
      <c r="AC37" s="2878"/>
      <c r="AD37" s="2878"/>
      <c r="AE37" s="2878"/>
      <c r="AF37" s="2878"/>
      <c r="AG37" s="2878"/>
      <c r="AH37" s="2878"/>
      <c r="AI37" s="2878"/>
      <c r="AJ37" s="2878"/>
      <c r="AK37" s="2878"/>
      <c r="AS37" s="1781">
        <v>14</v>
      </c>
    </row>
    <row customHeight="1" ht="14.699999999999998">
      <c r="Q38" s="1002"/>
      <c r="R38" s="1002"/>
      <c r="S38" s="2753" t="s">
        <v>318</v>
      </c>
      <c r="T38" s="2753"/>
      <c r="U38" s="2753"/>
      <c r="V38" s="2753"/>
      <c r="W38" s="2753"/>
      <c r="X38" s="2753"/>
      <c r="Y38" s="2753"/>
      <c r="Z38" s="2753"/>
      <c r="AA38" s="2753"/>
      <c r="AB38" s="2753"/>
      <c r="AC38" s="2753"/>
      <c r="AD38" s="2753"/>
      <c r="AE38" s="2753"/>
      <c r="AF38" s="2753"/>
      <c r="AG38" s="2753"/>
      <c r="AH38" s="2753"/>
      <c r="AI38" s="2753"/>
      <c r="AJ38" s="2753"/>
      <c r="AK38" s="2753"/>
      <c r="AL38" s="2753"/>
      <c r="AM38" s="2753" t="s">
        <v>319</v>
      </c>
      <c r="AS38" s="1781">
        <v>14</v>
      </c>
    </row>
    <row customHeight="1" ht="14.699999999999998">
      <c r="Q39" s="1002"/>
      <c r="R39" s="1002"/>
      <c r="S39" s="2899" t="s">
        <v>88</v>
      </c>
      <c r="T39" s="2835" t="s">
        <v>446</v>
      </c>
      <c r="U39" s="927"/>
      <c r="V39" s="2900" t="s">
        <v>447</v>
      </c>
      <c r="W39" s="2901"/>
      <c r="X39" s="2901"/>
      <c r="Y39" s="2901"/>
      <c r="Z39" s="2901"/>
      <c r="AA39" s="2901"/>
      <c r="AB39" s="2902"/>
      <c r="AC39" s="2903" t="s">
        <v>448</v>
      </c>
      <c r="AD39" s="2900" t="s">
        <v>447</v>
      </c>
      <c r="AE39" s="2901"/>
      <c r="AF39" s="2901"/>
      <c r="AG39" s="2901"/>
      <c r="AH39" s="2901"/>
      <c r="AI39" s="2901"/>
      <c r="AJ39" s="2902"/>
      <c r="AK39" s="2903" t="s">
        <v>449</v>
      </c>
      <c r="AL39" s="2906" t="s">
        <v>450</v>
      </c>
      <c r="AM39" s="2753"/>
      <c r="AS39" s="1781">
        <v>14</v>
      </c>
    </row>
    <row customHeight="1" ht="35.699999999999996">
      <c r="Q40" s="1002"/>
      <c r="R40" s="1002"/>
      <c r="S40" s="2899"/>
      <c r="T40" s="2835"/>
      <c r="U40" s="1657"/>
      <c r="V40" s="2886" t="s">
        <v>451</v>
      </c>
      <c r="W40" s="2909"/>
      <c r="X40" s="2888" t="s">
        <v>453</v>
      </c>
      <c r="Y40" s="2889"/>
      <c r="Z40" s="2888" t="s">
        <v>454</v>
      </c>
      <c r="AA40" s="2895"/>
      <c r="AB40" s="2889"/>
      <c r="AC40" s="2904"/>
      <c r="AD40" s="2886" t="s">
        <v>468</v>
      </c>
      <c r="AE40" s="2909"/>
      <c r="AF40" s="2888" t="s">
        <v>453</v>
      </c>
      <c r="AG40" s="2889"/>
      <c r="AH40" s="2888" t="s">
        <v>454</v>
      </c>
      <c r="AI40" s="2895"/>
      <c r="AJ40" s="2889"/>
      <c r="AK40" s="2904"/>
      <c r="AL40" s="2907"/>
      <c r="AM40" s="2753"/>
      <c r="AS40" s="1781">
        <v>34</v>
      </c>
    </row>
    <row customHeight="1" ht="35.699999999999996">
      <c r="A41" s="1996"/>
      <c r="B41" s="1996" t="s">
        <v>155</v>
      </c>
      <c r="C41" s="1996" t="s">
        <v>156</v>
      </c>
      <c r="D41" s="1996" t="s">
        <v>157</v>
      </c>
      <c r="E41" s="1990" t="s">
        <v>455</v>
      </c>
      <c r="F41" s="1990" t="s">
        <v>456</v>
      </c>
      <c r="G41" s="1990" t="s">
        <v>457</v>
      </c>
      <c r="H41" s="1990" t="s">
        <v>458</v>
      </c>
      <c r="I41" s="1990" t="s">
        <v>459</v>
      </c>
      <c r="J41" s="1990" t="s">
        <v>460</v>
      </c>
      <c r="K41" s="1990" t="s">
        <v>461</v>
      </c>
      <c r="L41" s="1990" t="s">
        <v>436</v>
      </c>
      <c r="Q41" s="1002"/>
      <c r="R41" s="1002"/>
      <c r="S41" s="2899"/>
      <c r="T41" s="2835"/>
      <c r="U41" s="928"/>
      <c r="V41" s="2887"/>
      <c r="W41" s="2910"/>
      <c r="X41" s="1848" t="s">
        <v>462</v>
      </c>
      <c r="Y41" s="1848" t="s">
        <v>463</v>
      </c>
      <c r="Z41" s="1964" t="s">
        <v>464</v>
      </c>
      <c r="AA41" s="2896" t="s">
        <v>465</v>
      </c>
      <c r="AB41" s="2897"/>
      <c r="AC41" s="2905"/>
      <c r="AD41" s="2887"/>
      <c r="AE41" s="2910"/>
      <c r="AF41" s="1848" t="s">
        <v>462</v>
      </c>
      <c r="AG41" s="1848" t="s">
        <v>463</v>
      </c>
      <c r="AH41" s="1964" t="s">
        <v>464</v>
      </c>
      <c r="AI41" s="2896" t="s">
        <v>465</v>
      </c>
      <c r="AJ41" s="2897"/>
      <c r="AK41" s="2905"/>
      <c r="AL41" s="2908"/>
      <c r="AM41" s="2753"/>
      <c r="AS41" s="1781">
        <v>34</v>
      </c>
    </row>
    <row s="35197" customFormat="1" customHeight="1" ht="11.25" hidden="1">
      <c r="A42" s="1996"/>
      <c r="B42" s="1996"/>
      <c r="C42" s="1996"/>
      <c r="D42" s="1996"/>
      <c r="E42" s="1996"/>
      <c r="F42" s="1996"/>
      <c r="G42" s="1996"/>
      <c r="H42" s="1996"/>
      <c r="I42" s="1996"/>
      <c r="J42" s="1996"/>
      <c r="K42" s="1996"/>
      <c r="L42" s="1990"/>
      <c r="M42" s="1988"/>
      <c r="N42" s="1988"/>
      <c r="O42" s="1988"/>
      <c r="P42" s="1872"/>
      <c r="Q42" s="1873"/>
      <c r="R42" s="1880">
        <v>1</v>
      </c>
      <c r="S42" s="1903" t="s">
        <v>118</v>
      </c>
      <c r="T42" s="1881" t="s">
        <v>102</v>
      </c>
      <c r="U42" s="1871" t="str">
        <f>OFFSET(U42,0,-1)</f>
        <v>2</v>
      </c>
      <c r="V42" s="1961">
        <f>OFFSET(V42,0,-1)+1</f>
        <v>3</v>
      </c>
      <c r="W42" s="1961"/>
      <c r="X42" s="1961">
        <f>OFFSET(X42,0,-1)+1</f>
        <v>1</v>
      </c>
      <c r="Y42" s="1961">
        <f>OFFSET(Y42,0,-1)+1</f>
        <v>2</v>
      </c>
      <c r="Z42" s="1961">
        <f>OFFSET(Z42,0,-1)+1</f>
        <v>3</v>
      </c>
      <c r="AA42" s="2898">
        <f>OFFSET(AA42,0,-1)+1</f>
        <v>4</v>
      </c>
      <c r="AB42" s="2898"/>
      <c r="AC42" s="1961">
        <f>OFFSET(AC42,0,-2)+1</f>
        <v>5</v>
      </c>
      <c r="AD42" s="1961">
        <f>OFFSET(AD42,0,-1)+1</f>
        <v>6</v>
      </c>
      <c r="AE42" s="1961"/>
      <c r="AF42" s="1961">
        <f>OFFSET(AF42,0,-1)+1</f>
        <v>1</v>
      </c>
      <c r="AG42" s="1961">
        <f>OFFSET(AG42,0,-1)+1</f>
        <v>2</v>
      </c>
      <c r="AH42" s="1961">
        <f>OFFSET(AH42,0,-1)+1</f>
        <v>3</v>
      </c>
      <c r="AI42" s="2898">
        <f>OFFSET(AI42,0,-1)+1</f>
        <v>4</v>
      </c>
      <c r="AJ42" s="2898"/>
      <c r="AK42" s="1961">
        <f>OFFSET(AK42,0,-2)+1</f>
        <v>5</v>
      </c>
      <c r="AL42" s="1871">
        <f>OFFSET(AL42,0,-1)</f>
        <v>5</v>
      </c>
      <c r="AM42" s="1961">
        <f>OFFSET(AM42,0,-1)+1</f>
        <v>6</v>
      </c>
      <c r="AN42" s="1137"/>
      <c r="AO42" s="1137"/>
      <c r="AP42" s="1137"/>
      <c r="AQ42" s="1137"/>
      <c r="AR42" s="1137"/>
      <c r="AS42" s="1122">
        <v>0</v>
      </c>
    </row>
    <row customHeight="1" ht="22.049999999999997">
      <c r="A43" s="1989" t="s">
        <v>188</v>
      </c>
      <c r="B43" s="1989"/>
      <c r="C43" s="1989"/>
      <c r="D43" s="1989"/>
      <c r="E43" s="2884">
        <v>1</v>
      </c>
      <c r="F43" s="1989"/>
      <c r="G43" s="1989"/>
      <c r="H43" s="1989"/>
      <c r="I43" s="1989"/>
      <c r="J43" s="1989"/>
      <c r="K43" s="1989"/>
      <c r="L43" s="1990"/>
      <c r="M43" s="1991"/>
      <c r="N43" s="1991"/>
      <c r="O43" s="1991"/>
      <c r="P43" s="987"/>
      <c r="Q43" s="986"/>
      <c r="R43" s="981"/>
      <c r="S43" s="1962">
        <f>INDEX(PT_DIFFERENTIATION_NUM_NTAR,MATCH(A43,PT_DIFFERENTIATION_NTAR_ID,0))</f>
        <v>0</v>
      </c>
      <c r="T43" s="924" t="s">
        <v>143</v>
      </c>
      <c r="U43" s="926"/>
      <c r="V43" s="2868"/>
      <c r="W43" s="2869"/>
      <c r="X43" s="2869"/>
      <c r="Y43" s="2869"/>
      <c r="Z43" s="2869"/>
      <c r="AA43" s="2869"/>
      <c r="AB43" s="2869"/>
      <c r="AC43" s="2870"/>
      <c r="AD43" s="2868" t="str">
        <f>INDEX(PT_DIFFERENTIATION_NTAR,MATCH(A43,PT_DIFFERENTIATION_NTAR_ID,0))</f>
        <v/>
      </c>
      <c r="AE43" s="2869"/>
      <c r="AF43" s="2869"/>
      <c r="AG43" s="2869"/>
      <c r="AH43" s="2869"/>
      <c r="AI43" s="2869"/>
      <c r="AJ43" s="2869"/>
      <c r="AK43" s="2869"/>
      <c r="AL43" s="2870"/>
      <c r="AM43" s="18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26"/>
      <c r="AP43" s="1126" t="str">
        <f>IF(T43="","",T43)</f>
        <v>Наименование тарифа</v>
      </c>
      <c r="AQ43" s="1126"/>
      <c r="AR43" s="1126"/>
      <c r="AS43" s="1781">
        <v>21</v>
      </c>
    </row>
    <row customHeight="1" ht="22.049999999999997">
      <c r="A44" s="1989" t="s">
        <v>188</v>
      </c>
      <c r="B44" s="1989" t="s">
        <v>189</v>
      </c>
      <c r="C44" s="1989"/>
      <c r="D44" s="1989"/>
      <c r="E44" s="2885"/>
      <c r="F44" s="2884">
        <v>1</v>
      </c>
      <c r="G44" s="1989"/>
      <c r="H44" s="1989"/>
      <c r="I44" s="1989"/>
      <c r="J44" s="1989"/>
      <c r="K44" s="1989"/>
      <c r="L44" s="1990"/>
      <c r="M44" s="1991"/>
      <c r="N44" s="1991"/>
      <c r="O44" s="1991"/>
      <c r="P44" s="1958"/>
      <c r="Q44" s="978"/>
      <c r="R44" s="979"/>
      <c r="S44" s="1962" t="str">
        <f>INDEX(PT_DIFFERENTIATION_NUM_TER,MATCH(B44,PT_DIFFERENTIATION_TER_ID,0))</f>
        <v>.</v>
      </c>
      <c r="T44" s="934" t="s">
        <v>415</v>
      </c>
      <c r="U44" s="926"/>
      <c r="V44" s="2868"/>
      <c r="W44" s="2869"/>
      <c r="X44" s="2869"/>
      <c r="Y44" s="2869"/>
      <c r="Z44" s="2869"/>
      <c r="AA44" s="2869"/>
      <c r="AB44" s="2869"/>
      <c r="AC44" s="2870"/>
      <c r="AD44" s="2868" t="str">
        <f>INDEX(PT_DIFFERENTIATION_TER,MATCH(B44,PT_DIFFERENTIATION_TER_ID,0))</f>
        <v/>
      </c>
      <c r="AE44" s="2869"/>
      <c r="AF44" s="2869"/>
      <c r="AG44" s="2869"/>
      <c r="AH44" s="2869"/>
      <c r="AI44" s="2869"/>
      <c r="AJ44" s="2869"/>
      <c r="AK44" s="2869"/>
      <c r="AL44" s="2870"/>
      <c r="AM44" s="1884" t="s">
        <v>416</v>
      </c>
      <c r="AO44" s="1126"/>
      <c r="AP44" s="1126" t="str">
        <f>IF(T44="","",T44)</f>
        <v>Территория действия тарифа</v>
      </c>
      <c r="AQ44" s="1126"/>
      <c r="AR44" s="1126"/>
      <c r="AS44" s="1781">
        <v>21</v>
      </c>
    </row>
    <row customHeight="1" ht="24">
      <c r="A45" s="1989" t="s">
        <v>188</v>
      </c>
      <c r="B45" s="1989" t="s">
        <v>189</v>
      </c>
      <c r="C45" s="1989" t="s">
        <v>190</v>
      </c>
      <c r="D45" s="1989"/>
      <c r="E45" s="2885"/>
      <c r="F45" s="2885"/>
      <c r="G45" s="2884">
        <v>1</v>
      </c>
      <c r="H45" s="1989"/>
      <c r="I45" s="1989"/>
      <c r="J45" s="1989"/>
      <c r="K45" s="1989"/>
      <c r="L45" s="1990"/>
      <c r="M45" s="1991"/>
      <c r="N45" s="1991"/>
      <c r="O45" s="1991"/>
      <c r="P45" s="980"/>
      <c r="Q45" s="978"/>
      <c r="R45" s="979"/>
      <c r="S45" s="1962" t="str">
        <f>INDEX(PT_DIFFERENTIATION_NUM_CS,MATCH(C45,PT_DIFFERENTIATION_CS_ID,0))</f>
        <v>..</v>
      </c>
      <c r="T45" s="935" t="s">
        <v>417</v>
      </c>
      <c r="U45" s="926"/>
      <c r="V45" s="2868"/>
      <c r="W45" s="2869"/>
      <c r="X45" s="2869"/>
      <c r="Y45" s="2869"/>
      <c r="Z45" s="2869"/>
      <c r="AA45" s="2869"/>
      <c r="AB45" s="2869"/>
      <c r="AC45" s="2870"/>
      <c r="AD45" s="2868" t="str">
        <f>INDEX(PT_DIFFERENTIATION_CS,MATCH(C45,PT_DIFFERENTIATION_CS_ID,0))</f>
        <v/>
      </c>
      <c r="AE45" s="2869"/>
      <c r="AF45" s="2869"/>
      <c r="AG45" s="2869"/>
      <c r="AH45" s="2869"/>
      <c r="AI45" s="2869"/>
      <c r="AJ45" s="2869"/>
      <c r="AK45" s="2869"/>
      <c r="AL45" s="2870"/>
      <c r="AM45" s="1884" t="s">
        <v>418</v>
      </c>
      <c r="AO45" s="1126"/>
      <c r="AP45" s="1126" t="str">
        <f>IF(T45="","",T45)</f>
        <v>Наименование системы теплоснабжения </v>
      </c>
      <c r="AQ45" s="1126"/>
      <c r="AR45" s="1126"/>
      <c r="AS45" s="1781">
        <v>23</v>
      </c>
    </row>
    <row customHeight="1" ht="22.049999999999997">
      <c r="A46" s="1989" t="s">
        <v>188</v>
      </c>
      <c r="B46" s="1989" t="s">
        <v>189</v>
      </c>
      <c r="C46" s="1989" t="s">
        <v>190</v>
      </c>
      <c r="D46" s="1989" t="s">
        <v>191</v>
      </c>
      <c r="E46" s="2885"/>
      <c r="F46" s="2885"/>
      <c r="G46" s="2885"/>
      <c r="H46" s="2884">
        <v>1</v>
      </c>
      <c r="I46" s="1989"/>
      <c r="J46" s="1989"/>
      <c r="K46" s="1989"/>
      <c r="L46" s="1990"/>
      <c r="M46" s="1991"/>
      <c r="N46" s="1991"/>
      <c r="O46" s="1991"/>
      <c r="P46" s="980"/>
      <c r="Q46" s="978"/>
      <c r="R46" s="979"/>
      <c r="S46" s="1962" t="str">
        <f>INDEX(PT_DIFFERENTIATION_NUM_IST_TE,MATCH(D46,PT_DIFFERENTIATION_IST_TE_ID,0))</f>
        <v>...</v>
      </c>
      <c r="T46" s="936" t="s">
        <v>419</v>
      </c>
      <c r="U46" s="926"/>
      <c r="V46" s="2868"/>
      <c r="W46" s="2869"/>
      <c r="X46" s="2869"/>
      <c r="Y46" s="2869"/>
      <c r="Z46" s="2869"/>
      <c r="AA46" s="2869"/>
      <c r="AB46" s="2869"/>
      <c r="AC46" s="2870"/>
      <c r="AD46" s="2868" t="str">
        <f>INDEX(PT_DIFFERENTIATION_IST_TE,MATCH(D46,PT_DIFFERENTIATION_IST_TE_ID,0))</f>
        <v/>
      </c>
      <c r="AE46" s="2869"/>
      <c r="AF46" s="2869"/>
      <c r="AG46" s="2869"/>
      <c r="AH46" s="2869"/>
      <c r="AI46" s="2869"/>
      <c r="AJ46" s="2869"/>
      <c r="AK46" s="2869"/>
      <c r="AL46" s="2870"/>
      <c r="AM46" s="1884" t="s">
        <v>420</v>
      </c>
      <c r="AO46" s="1126"/>
      <c r="AP46" s="1126" t="str">
        <f>IF(T46="","",T46)</f>
        <v>Источник тепловой энергии  </v>
      </c>
      <c r="AQ46" s="1126"/>
      <c r="AR46" s="1126"/>
      <c r="AS46" s="1781">
        <v>21</v>
      </c>
    </row>
    <row s="34658" customFormat="1" customHeight="1" ht="0">
      <c r="A47" s="1969" t="s">
        <v>188</v>
      </c>
      <c r="B47" s="1969" t="s">
        <v>189</v>
      </c>
      <c r="C47" s="1969" t="s">
        <v>190</v>
      </c>
      <c r="D47" s="1969" t="s">
        <v>191</v>
      </c>
      <c r="E47" s="2885"/>
      <c r="F47" s="2885"/>
      <c r="G47" s="2885"/>
      <c r="H47" s="2885"/>
      <c r="I47" s="2882" t="str">
        <f>S46&amp;".1"</f>
        <v>....1</v>
      </c>
      <c r="J47" s="1969"/>
      <c r="K47" s="1969"/>
      <c r="L47" s="1972" t="s">
        <v>421</v>
      </c>
      <c r="M47" s="1136"/>
      <c r="N47" s="1136"/>
      <c r="O47" s="1136"/>
      <c r="P47" s="2883">
        <v>1</v>
      </c>
      <c r="Q47" s="1957"/>
      <c r="R47" s="982"/>
      <c r="S47" s="1668"/>
      <c r="T47" s="2009"/>
      <c r="U47" s="2010"/>
      <c r="V47" s="2922"/>
      <c r="W47" s="2923"/>
      <c r="X47" s="2923"/>
      <c r="Y47" s="2923"/>
      <c r="Z47" s="2923"/>
      <c r="AA47" s="2923"/>
      <c r="AB47" s="2923"/>
      <c r="AC47" s="2924"/>
      <c r="AD47" s="2922"/>
      <c r="AE47" s="2923"/>
      <c r="AF47" s="2923"/>
      <c r="AG47" s="2923"/>
      <c r="AH47" s="2923"/>
      <c r="AI47" s="2923"/>
      <c r="AJ47" s="2923"/>
      <c r="AK47" s="2923"/>
      <c r="AL47" s="2924"/>
      <c r="AM47" s="2011"/>
      <c r="AO47" s="1126"/>
      <c r="AP47" s="1126" t="str">
        <f>IF(T47="","",T47)</f>
        <v/>
      </c>
      <c r="AQ47" s="1126"/>
      <c r="AR47" s="1126"/>
      <c r="AS47" s="1137">
        <v>0</v>
      </c>
    </row>
    <row customHeight="1" ht="22.049999999999997">
      <c r="A48" s="1989" t="s">
        <v>188</v>
      </c>
      <c r="B48" s="1989" t="s">
        <v>189</v>
      </c>
      <c r="C48" s="1989" t="s">
        <v>190</v>
      </c>
      <c r="D48" s="1989" t="s">
        <v>191</v>
      </c>
      <c r="E48" s="2885"/>
      <c r="F48" s="2885"/>
      <c r="G48" s="2885"/>
      <c r="H48" s="2885"/>
      <c r="I48" s="2912"/>
      <c r="J48" s="2882" t="str">
        <f>S46&amp;".1"</f>
        <v>....1</v>
      </c>
      <c r="K48" s="1989"/>
      <c r="L48" s="1990" t="s">
        <v>424</v>
      </c>
      <c r="P48" s="2883"/>
      <c r="Q48" s="2883">
        <v>1</v>
      </c>
      <c r="R48" s="983"/>
      <c r="S48" s="1962" t="str">
        <f>$J48</f>
        <v>....1</v>
      </c>
      <c r="T48" s="912" t="s">
        <v>425</v>
      </c>
      <c r="U48" s="926"/>
      <c r="V48" s="2871"/>
      <c r="W48" s="2872"/>
      <c r="X48" s="2872"/>
      <c r="Y48" s="2872"/>
      <c r="Z48" s="2872"/>
      <c r="AA48" s="2872"/>
      <c r="AB48" s="2872"/>
      <c r="AC48" s="2873"/>
      <c r="AD48" s="2871"/>
      <c r="AE48" s="2872"/>
      <c r="AF48" s="2872"/>
      <c r="AG48" s="2872"/>
      <c r="AH48" s="2872"/>
      <c r="AI48" s="2872"/>
      <c r="AJ48" s="2872"/>
      <c r="AK48" s="2872"/>
      <c r="AL48" s="2873"/>
      <c r="AM48" s="1884" t="s">
        <v>426</v>
      </c>
      <c r="AO48" s="1126"/>
      <c r="AP48" s="1126" t="str">
        <f>IF(T48="","",T48)</f>
        <v>Группа потребителей</v>
      </c>
      <c r="AQ48" s="1126"/>
      <c r="AR48" s="1126"/>
      <c r="AS48" s="1781">
        <v>21</v>
      </c>
    </row>
    <row customHeight="1" ht="22.049999999999997">
      <c r="A49" s="1989" t="s">
        <v>188</v>
      </c>
      <c r="B49" s="1989" t="s">
        <v>189</v>
      </c>
      <c r="C49" s="1989" t="s">
        <v>190</v>
      </c>
      <c r="D49" s="1989" t="s">
        <v>191</v>
      </c>
      <c r="E49" s="2885"/>
      <c r="F49" s="2885"/>
      <c r="G49" s="2885"/>
      <c r="H49" s="2885"/>
      <c r="I49" s="2912"/>
      <c r="J49" s="2912"/>
      <c r="K49" s="2882" t="str">
        <f>J48&amp;".1"</f>
        <v>....1.1</v>
      </c>
      <c r="L49" s="1990" t="s">
        <v>427</v>
      </c>
      <c r="P49" s="2883"/>
      <c r="Q49" s="2883"/>
      <c r="R49" s="983">
        <v>1</v>
      </c>
      <c r="S49" s="1962" t="str">
        <f>$K49</f>
        <v>....1.1</v>
      </c>
      <c r="T49" s="1973"/>
      <c r="U49" s="926"/>
      <c r="V49" s="1377"/>
      <c r="W49" s="951"/>
      <c r="X49" s="1377"/>
      <c r="Y49" s="1883"/>
      <c r="Z49" s="2891"/>
      <c r="AA49" s="2733" t="s">
        <v>66</v>
      </c>
      <c r="AB49" s="2891"/>
      <c r="AC49" s="2733" t="s">
        <v>66</v>
      </c>
      <c r="AD49" s="1377"/>
      <c r="AE49" s="951"/>
      <c r="AF49" s="1377"/>
      <c r="AG49" s="1883"/>
      <c r="AH49" s="2891"/>
      <c r="AI49" s="2733" t="s">
        <v>66</v>
      </c>
      <c r="AJ49" s="2913"/>
      <c r="AK49" s="2733" t="s">
        <v>66</v>
      </c>
      <c r="AL49" s="1974"/>
      <c r="AM49" s="2879" t="s">
        <v>469</v>
      </c>
      <c r="AN49" s="1137">
        <f>STRCHECKDATE(V50:AL50)</f>
      </c>
      <c r="AO49" s="1126"/>
      <c r="AP49" s="1126" t="str">
        <f>IF(T49="","",T49)</f>
        <v/>
      </c>
      <c r="AQ49" s="1126"/>
      <c r="AR49" s="1126"/>
      <c r="AS49" s="1781">
        <v>21</v>
      </c>
    </row>
    <row customHeight="1" ht="1.05">
      <c r="A50" s="1989" t="s">
        <v>188</v>
      </c>
      <c r="B50" s="1989" t="s">
        <v>189</v>
      </c>
      <c r="C50" s="1989" t="s">
        <v>190</v>
      </c>
      <c r="D50" s="1989" t="s">
        <v>191</v>
      </c>
      <c r="E50" s="2885"/>
      <c r="F50" s="2885"/>
      <c r="G50" s="2885"/>
      <c r="H50" s="2885"/>
      <c r="I50" s="2912"/>
      <c r="J50" s="2912"/>
      <c r="K50" s="2882"/>
      <c r="L50" s="1990"/>
      <c r="P50" s="2883"/>
      <c r="Q50" s="2883"/>
      <c r="R50" s="983"/>
      <c r="S50" s="1968"/>
      <c r="T50" s="926"/>
      <c r="U50" s="926"/>
      <c r="V50" s="951"/>
      <c r="W50" s="951"/>
      <c r="X50" s="951"/>
      <c r="Y50" s="954" t="str">
        <f>Z49&amp;"-"&amp;AB49</f>
        <v>-</v>
      </c>
      <c r="Z50" s="2892"/>
      <c r="AA50" s="2733"/>
      <c r="AB50" s="2892"/>
      <c r="AC50" s="2733"/>
      <c r="AD50" s="951"/>
      <c r="AE50" s="951"/>
      <c r="AF50" s="951"/>
      <c r="AG50" s="954" t="str">
        <f>AH49&amp;"-"&amp;AJ49</f>
        <v>-</v>
      </c>
      <c r="AH50" s="2892"/>
      <c r="AI50" s="2733"/>
      <c r="AJ50" s="2914"/>
      <c r="AK50" s="2733"/>
      <c r="AL50" s="1975"/>
      <c r="AM50" s="2880"/>
      <c r="AO50" s="1126"/>
      <c r="AP50" s="1126" t="str">
        <f>IF(T50="","",T50)</f>
        <v/>
      </c>
      <c r="AQ50" s="1126"/>
      <c r="AR50" s="1126"/>
      <c r="AS50" s="1781">
        <v>1</v>
      </c>
    </row>
    <row customHeight="1" ht="11.549999999999999">
      <c r="A51" s="1989" t="s">
        <v>188</v>
      </c>
      <c r="B51" s="1989" t="s">
        <v>189</v>
      </c>
      <c r="C51" s="1989" t="s">
        <v>190</v>
      </c>
      <c r="D51" s="1989" t="s">
        <v>191</v>
      </c>
      <c r="E51" s="2885"/>
      <c r="F51" s="2885"/>
      <c r="G51" s="2885"/>
      <c r="H51" s="2885"/>
      <c r="I51" s="2912"/>
      <c r="J51" s="2882"/>
      <c r="K51" s="1989"/>
      <c r="L51" s="1990"/>
      <c r="P51" s="2883"/>
      <c r="Q51" s="2883"/>
      <c r="R51" s="982"/>
      <c r="S51" s="1904"/>
      <c r="T51" s="913" t="s">
        <v>429</v>
      </c>
      <c r="U51" s="993"/>
      <c r="V51" s="993"/>
      <c r="W51" s="993"/>
      <c r="X51" s="993"/>
      <c r="Y51" s="993"/>
      <c r="Z51" s="993"/>
      <c r="AA51" s="993"/>
      <c r="AB51" s="993"/>
      <c r="AC51" s="993"/>
      <c r="AD51" s="993"/>
      <c r="AE51" s="993"/>
      <c r="AF51" s="993"/>
      <c r="AG51" s="993"/>
      <c r="AH51" s="993"/>
      <c r="AI51" s="993"/>
      <c r="AJ51" s="993"/>
      <c r="AK51" s="993"/>
      <c r="AL51" s="950"/>
      <c r="AM51" s="2881"/>
      <c r="AO51" s="1126"/>
      <c r="AP51" s="1126" t="str">
        <f>IF(T51="","",T51)</f>
        <v>Добавить вид теплоносителя (параметры теплоносителя)</v>
      </c>
      <c r="AQ51" s="1126"/>
      <c r="AR51" s="1126"/>
      <c r="AS51" s="1781">
        <v>11</v>
      </c>
    </row>
    <row customHeight="1" ht="11.549999999999999">
      <c r="A52" s="1989" t="s">
        <v>188</v>
      </c>
      <c r="B52" s="1989" t="s">
        <v>189</v>
      </c>
      <c r="C52" s="1989" t="s">
        <v>190</v>
      </c>
      <c r="D52" s="1989" t="s">
        <v>191</v>
      </c>
      <c r="E52" s="2885"/>
      <c r="F52" s="2885"/>
      <c r="G52" s="2885"/>
      <c r="H52" s="2885"/>
      <c r="I52" s="2882"/>
      <c r="J52" s="1989"/>
      <c r="K52" s="1989"/>
      <c r="L52" s="1990"/>
      <c r="P52" s="2883"/>
      <c r="Q52" s="1957"/>
      <c r="R52" s="982"/>
      <c r="S52" s="1904"/>
      <c r="T52" s="991" t="s">
        <v>430</v>
      </c>
      <c r="U52" s="993"/>
      <c r="V52" s="993"/>
      <c r="W52" s="993"/>
      <c r="X52" s="993"/>
      <c r="Y52" s="993"/>
      <c r="Z52" s="993"/>
      <c r="AA52" s="993"/>
      <c r="AB52" s="993"/>
      <c r="AC52" s="992"/>
      <c r="AD52" s="993"/>
      <c r="AE52" s="993"/>
      <c r="AF52" s="993"/>
      <c r="AG52" s="993"/>
      <c r="AH52" s="993"/>
      <c r="AI52" s="993"/>
      <c r="AJ52" s="993"/>
      <c r="AK52" s="992"/>
      <c r="AL52" s="993"/>
      <c r="AM52" s="929"/>
      <c r="AO52" s="1126"/>
      <c r="AP52" s="1126" t="str">
        <f>IF(T52="","",T52)</f>
        <v>Добавить группу потребителей</v>
      </c>
      <c r="AQ52" s="1126"/>
      <c r="AR52" s="1126"/>
      <c r="AS52" s="1781">
        <v>11</v>
      </c>
    </row>
    <row customHeight="1" ht="0">
      <c r="A53" s="1989" t="s">
        <v>188</v>
      </c>
      <c r="B53" s="1989" t="s">
        <v>189</v>
      </c>
      <c r="C53" s="1989" t="s">
        <v>190</v>
      </c>
      <c r="D53" s="1989" t="s">
        <v>191</v>
      </c>
      <c r="E53" s="2885"/>
      <c r="F53" s="2885"/>
      <c r="G53" s="2885"/>
      <c r="H53" s="2884"/>
      <c r="I53" s="1989"/>
      <c r="J53" s="1989"/>
      <c r="K53" s="1989"/>
      <c r="L53" s="1990"/>
      <c r="M53" s="1991"/>
      <c r="N53" s="1991"/>
      <c r="O53" s="1163"/>
      <c r="P53" s="986"/>
      <c r="Q53" s="1001"/>
      <c r="R53" s="981"/>
      <c r="S53" s="2012"/>
      <c r="T53" s="2013"/>
      <c r="U53" s="2014"/>
      <c r="V53" s="2014"/>
      <c r="W53" s="2014"/>
      <c r="X53" s="2014"/>
      <c r="Y53" s="2014"/>
      <c r="Z53" s="2014"/>
      <c r="AA53" s="2014"/>
      <c r="AB53" s="2014"/>
      <c r="AC53" s="2014"/>
      <c r="AD53" s="2014"/>
      <c r="AE53" s="2014"/>
      <c r="AF53" s="2014"/>
      <c r="AG53" s="2014"/>
      <c r="AH53" s="2014"/>
      <c r="AI53" s="2014"/>
      <c r="AJ53" s="2014"/>
      <c r="AK53" s="2014"/>
      <c r="AL53" s="2014"/>
      <c r="AM53" s="2015"/>
      <c r="AO53" s="1126"/>
      <c r="AP53" s="1126" t="str">
        <f>IF(T53="","",T53)</f>
        <v/>
      </c>
      <c r="AQ53" s="1126"/>
      <c r="AR53" s="1126"/>
      <c r="AS53" s="1781">
        <v>0</v>
      </c>
    </row>
    <row s="34658" customFormat="1" customHeight="1" ht="1.05">
      <c r="A54" s="1969" t="s">
        <v>188</v>
      </c>
      <c r="B54" s="1969" t="s">
        <v>189</v>
      </c>
      <c r="C54" s="1969" t="s">
        <v>190</v>
      </c>
      <c r="D54" s="1940"/>
      <c r="E54" s="2885"/>
      <c r="F54" s="2885"/>
      <c r="G54" s="2884"/>
      <c r="H54" s="1940"/>
      <c r="I54" s="1940"/>
      <c r="J54" s="1940"/>
      <c r="K54" s="1940"/>
      <c r="L54" s="1965"/>
      <c r="M54" s="1941"/>
      <c r="N54" s="1941"/>
      <c r="P54" s="1942"/>
      <c r="Q54" s="1943"/>
      <c r="R54" s="1942"/>
      <c r="S54" s="1948"/>
      <c r="T54" s="1951" t="s">
        <v>432</v>
      </c>
      <c r="U54" s="1950"/>
      <c r="V54" s="1950"/>
      <c r="W54" s="1950"/>
      <c r="X54" s="1950"/>
      <c r="Y54" s="1950"/>
      <c r="Z54" s="1950"/>
      <c r="AA54" s="1950"/>
      <c r="AB54" s="1950"/>
      <c r="AC54" s="1950"/>
      <c r="AD54" s="1950"/>
      <c r="AE54" s="1950"/>
      <c r="AF54" s="1950"/>
      <c r="AG54" s="1950"/>
      <c r="AH54" s="1950"/>
      <c r="AI54" s="1950"/>
      <c r="AJ54" s="1950"/>
      <c r="AK54" s="1950"/>
      <c r="AL54" s="1950"/>
      <c r="AM54" s="1950"/>
      <c r="AO54" s="1415"/>
      <c r="AP54" s="1415" t="str">
        <f>IF(T54="","",T54)</f>
        <v>Добавить источник для дифференциации</v>
      </c>
      <c r="AQ54" s="1415"/>
      <c r="AR54" s="1415"/>
      <c r="AS54" s="1144">
        <v>1</v>
      </c>
    </row>
    <row s="34658" customFormat="1" customHeight="1" ht="1.05">
      <c r="A55" s="1969" t="s">
        <v>188</v>
      </c>
      <c r="B55" s="1969" t="s">
        <v>189</v>
      </c>
      <c r="C55" s="1940"/>
      <c r="D55" s="1940"/>
      <c r="E55" s="2885"/>
      <c r="F55" s="2884"/>
      <c r="G55" s="1940"/>
      <c r="H55" s="1940"/>
      <c r="I55" s="1940"/>
      <c r="J55" s="1940"/>
      <c r="K55" s="1940"/>
      <c r="L55" s="1965"/>
      <c r="M55" s="1947"/>
      <c r="N55" s="1947"/>
      <c r="P55" s="1942"/>
      <c r="Q55" s="1943"/>
      <c r="R55" s="1942"/>
      <c r="S55" s="1948"/>
      <c r="T55" s="1951" t="s">
        <v>433</v>
      </c>
      <c r="U55" s="1950"/>
      <c r="V55" s="1950"/>
      <c r="W55" s="1950"/>
      <c r="X55" s="1950"/>
      <c r="Y55" s="1950"/>
      <c r="Z55" s="1950"/>
      <c r="AA55" s="1950"/>
      <c r="AB55" s="1950"/>
      <c r="AC55" s="1950"/>
      <c r="AD55" s="1950"/>
      <c r="AE55" s="1950"/>
      <c r="AF55" s="1950"/>
      <c r="AG55" s="1950"/>
      <c r="AH55" s="1950"/>
      <c r="AI55" s="1950"/>
      <c r="AJ55" s="1950"/>
      <c r="AK55" s="1950"/>
      <c r="AL55" s="1950"/>
      <c r="AM55" s="1950"/>
      <c r="AO55" s="1415"/>
      <c r="AP55" s="1415" t="str">
        <f>IF(T55="","",T55)</f>
        <v>Добавить централизованную систему для дифференциации</v>
      </c>
      <c r="AQ55" s="1415"/>
      <c r="AR55" s="1415"/>
      <c r="AS55" s="1144">
        <v>1</v>
      </c>
    </row>
    <row s="34658" customFormat="1" customHeight="1" ht="1.05">
      <c r="A56" s="1969" t="s">
        <v>188</v>
      </c>
      <c r="B56" s="1969"/>
      <c r="C56" s="1969"/>
      <c r="D56" s="1969"/>
      <c r="E56" s="2884"/>
      <c r="F56" s="1969"/>
      <c r="G56" s="1969"/>
      <c r="H56" s="1969"/>
      <c r="I56" s="1969"/>
      <c r="J56" s="1969"/>
      <c r="K56" s="1969"/>
      <c r="L56" s="1972"/>
      <c r="M56" s="1947"/>
      <c r="N56" s="1947"/>
      <c r="O56" s="1144"/>
      <c r="P56" s="1006"/>
      <c r="Q56" s="1970"/>
      <c r="R56" s="1006"/>
      <c r="S56" s="1948"/>
      <c r="T56" s="1951" t="s">
        <v>434</v>
      </c>
      <c r="U56" s="1950"/>
      <c r="V56" s="1950"/>
      <c r="W56" s="1950"/>
      <c r="X56" s="1950"/>
      <c r="Y56" s="1950"/>
      <c r="Z56" s="1950"/>
      <c r="AA56" s="1950"/>
      <c r="AB56" s="1950"/>
      <c r="AC56" s="1950"/>
      <c r="AD56" s="1950"/>
      <c r="AE56" s="1950"/>
      <c r="AF56" s="1950"/>
      <c r="AG56" s="1950"/>
      <c r="AH56" s="1950"/>
      <c r="AI56" s="1950"/>
      <c r="AJ56" s="1950"/>
      <c r="AK56" s="1950"/>
      <c r="AL56" s="1950"/>
      <c r="AM56" s="1950"/>
      <c r="AO56" s="1126"/>
      <c r="AP56" s="1126" t="str">
        <f>IF(T56="","",T56)</f>
        <v>Добавить территорию для дифференциации</v>
      </c>
      <c r="AQ56" s="1126"/>
      <c r="AR56" s="1126"/>
      <c r="AS56" s="1137">
        <v>1</v>
      </c>
    </row>
    <row s="34658" customFormat="1" customHeight="1" ht="1.05">
      <c r="A57" s="1940"/>
      <c r="B57" s="1940"/>
      <c r="C57" s="1940"/>
      <c r="D57" s="1940"/>
      <c r="E57" s="1969"/>
      <c r="F57" s="1940"/>
      <c r="G57" s="1940"/>
      <c r="H57" s="1940"/>
      <c r="I57" s="1940"/>
      <c r="J57" s="1940"/>
      <c r="K57" s="1940"/>
      <c r="L57" s="1965"/>
      <c r="M57" s="1947"/>
      <c r="N57" s="1947"/>
      <c r="P57" s="1942"/>
      <c r="Q57" s="1943"/>
      <c r="R57" s="1942"/>
      <c r="S57" s="1948"/>
      <c r="T57" s="1951" t="s">
        <v>466</v>
      </c>
      <c r="U57" s="1950"/>
      <c r="V57" s="1950"/>
      <c r="W57" s="1950"/>
      <c r="X57" s="1950"/>
      <c r="Y57" s="1950"/>
      <c r="Z57" s="1950"/>
      <c r="AA57" s="1950"/>
      <c r="AB57" s="1950"/>
      <c r="AC57" s="1950"/>
      <c r="AD57" s="1950"/>
      <c r="AE57" s="1950"/>
      <c r="AF57" s="1950"/>
      <c r="AG57" s="1950"/>
      <c r="AH57" s="1950"/>
      <c r="AI57" s="1950"/>
      <c r="AJ57" s="1950"/>
      <c r="AK57" s="1950"/>
      <c r="AL57" s="1950"/>
      <c r="AM57" s="1950"/>
      <c r="AO57" s="1415"/>
      <c r="AP57" s="1415" t="str">
        <f>IF(T57="","",T57)</f>
        <v>Добавить наименование тарифа</v>
      </c>
      <c r="AQ57" s="1415"/>
      <c r="AR57" s="1415"/>
      <c r="AS57" s="1144">
        <v>1</v>
      </c>
    </row>
    <row customHeight="1" ht="11.549999999999999">
      <c r="M58" s="1786"/>
      <c r="N58" s="1786"/>
      <c r="O58" s="1163"/>
      <c r="P58" s="1781"/>
      <c r="Q58" s="1781"/>
      <c r="R58" s="1781"/>
      <c r="S58" s="1781"/>
      <c r="AN58" s="1781"/>
      <c r="AO58" s="1781"/>
      <c r="AP58" s="1781"/>
      <c r="AQ58" s="1781"/>
      <c r="AR58" s="1781"/>
      <c r="AS58" s="1781">
        <v>11</v>
      </c>
    </row>
    <row customHeight="1" ht="19.95">
      <c r="O59" s="1163"/>
      <c r="S59" s="1879"/>
      <c r="T59" s="2911"/>
      <c r="U59" s="2911"/>
      <c r="V59" s="2911"/>
      <c r="W59" s="2911"/>
      <c r="X59" s="2911"/>
      <c r="Y59" s="2911"/>
      <c r="Z59" s="2911"/>
      <c r="AA59" s="2911"/>
      <c r="AB59" s="2911"/>
      <c r="AC59" s="2911"/>
      <c r="AD59" s="2911"/>
      <c r="AE59" s="2911"/>
      <c r="AF59" s="2911"/>
      <c r="AG59" s="2911"/>
      <c r="AH59" s="2911"/>
      <c r="AI59" s="2911"/>
      <c r="AJ59" s="2911"/>
      <c r="AK59" s="2911"/>
      <c r="AL59" s="2911"/>
      <c r="AM59" s="2911"/>
      <c r="AS59" s="1781">
        <v>19</v>
      </c>
    </row>
    <row customHeight="1" ht="29.25">
      <c r="O60" s="1163"/>
      <c r="T60" s="2911"/>
      <c r="U60" s="2911"/>
      <c r="V60" s="2911"/>
      <c r="W60" s="2911"/>
      <c r="X60" s="2911"/>
      <c r="Y60" s="2911"/>
      <c r="Z60" s="2911"/>
      <c r="AA60" s="2911"/>
      <c r="AB60" s="2911"/>
      <c r="AC60" s="2911"/>
      <c r="AD60" s="2911"/>
      <c r="AE60" s="2911"/>
      <c r="AF60" s="2911"/>
      <c r="AG60" s="2911"/>
      <c r="AH60" s="2911"/>
      <c r="AI60" s="2911"/>
      <c r="AJ60" s="2911"/>
      <c r="AK60" s="2911"/>
      <c r="AL60" s="2911"/>
      <c r="AM60" s="2911"/>
      <c r="AS60" s="1781">
        <v>28</v>
      </c>
    </row>
    <row customHeight="1" ht="42">
      <c r="O61" s="1163"/>
      <c r="T61" s="2911"/>
      <c r="U61" s="2911"/>
      <c r="V61" s="2911"/>
      <c r="W61" s="2911"/>
      <c r="X61" s="2911"/>
      <c r="Y61" s="2911"/>
      <c r="Z61" s="2911"/>
      <c r="AA61" s="2911"/>
      <c r="AB61" s="2911"/>
      <c r="AC61" s="2911"/>
      <c r="AD61" s="2911"/>
      <c r="AE61" s="2911"/>
      <c r="AF61" s="2911"/>
      <c r="AG61" s="2911"/>
      <c r="AH61" s="2911"/>
      <c r="AI61" s="2911"/>
      <c r="AJ61" s="2911"/>
      <c r="AK61" s="2911"/>
      <c r="AL61" s="2911"/>
      <c r="AM61" s="2911"/>
      <c r="AS61" s="1781">
        <v>40</v>
      </c>
    </row>
    <row customHeight="1" ht="14.699999999999998">
      <c r="O62" s="1163"/>
      <c r="AS62" s="1781">
        <v>14</v>
      </c>
    </row>
    <row customHeight="1" ht="21">
      <c r="O63" s="1163"/>
      <c r="S63" s="1879"/>
      <c r="T63" s="2925"/>
      <c r="U63" s="2911"/>
      <c r="V63" s="2911"/>
      <c r="W63" s="2911"/>
      <c r="X63" s="2911"/>
      <c r="Y63" s="2911"/>
      <c r="Z63" s="2911"/>
      <c r="AA63" s="2911"/>
      <c r="AB63" s="2911"/>
      <c r="AC63" s="2911"/>
      <c r="AD63" s="2911"/>
      <c r="AE63" s="2911"/>
      <c r="AF63" s="2911"/>
      <c r="AG63" s="2911"/>
      <c r="AH63" s="2911"/>
      <c r="AI63" s="2911"/>
      <c r="AJ63" s="2911"/>
      <c r="AK63" s="2911"/>
      <c r="AL63" s="2911"/>
      <c r="AM63" s="2911"/>
      <c r="AS63" s="1781">
        <v>20</v>
      </c>
    </row>
    <row customHeight="1" ht="29.25">
      <c r="O64" s="1163"/>
      <c r="T64" s="2911"/>
      <c r="U64" s="2911"/>
      <c r="V64" s="2911"/>
      <c r="W64" s="2911"/>
      <c r="X64" s="2911"/>
      <c r="Y64" s="2911"/>
      <c r="Z64" s="2911"/>
      <c r="AA64" s="2911"/>
      <c r="AB64" s="2911"/>
      <c r="AC64" s="2911"/>
      <c r="AD64" s="2911"/>
      <c r="AE64" s="2911"/>
      <c r="AF64" s="2911"/>
      <c r="AG64" s="2911"/>
      <c r="AH64" s="2911"/>
      <c r="AI64" s="2911"/>
      <c r="AJ64" s="2911"/>
      <c r="AK64" s="2911"/>
      <c r="AL64" s="2911"/>
      <c r="AM64" s="2911"/>
      <c r="AS64" s="1781">
        <v>28</v>
      </c>
    </row>
    <row customHeight="1" ht="35.699999999999996">
      <c r="T65" s="2911"/>
      <c r="U65" s="2911"/>
      <c r="V65" s="2911"/>
      <c r="W65" s="2911"/>
      <c r="X65" s="2911"/>
      <c r="Y65" s="2911"/>
      <c r="Z65" s="2911"/>
      <c r="AA65" s="2911"/>
      <c r="AB65" s="2911"/>
      <c r="AC65" s="2911"/>
      <c r="AD65" s="2911"/>
      <c r="AE65" s="2911"/>
      <c r="AF65" s="2911"/>
      <c r="AG65" s="2911"/>
      <c r="AH65" s="2911"/>
      <c r="AI65" s="2911"/>
      <c r="AJ65" s="2911"/>
      <c r="AK65" s="2911"/>
      <c r="AL65" s="2911"/>
      <c r="AM65" s="2911"/>
      <c r="AS65" s="1781">
        <v>34</v>
      </c>
    </row>
    <row customHeight="1" ht="22.5" hidden="1">
      <c r="A66" s="1786" t="s">
        <v>82</v>
      </c>
      <c r="B66" s="1786">
        <v>0</v>
      </c>
      <c r="C66" s="1786">
        <v>0</v>
      </c>
      <c r="D66" s="1786">
        <v>0</v>
      </c>
      <c r="E66" s="1786">
        <v>0</v>
      </c>
      <c r="F66" s="1786">
        <v>0</v>
      </c>
      <c r="G66" s="1786">
        <v>0</v>
      </c>
      <c r="H66" s="1786">
        <v>0</v>
      </c>
      <c r="I66" s="1786">
        <v>0</v>
      </c>
      <c r="J66" s="1786">
        <v>0</v>
      </c>
      <c r="K66" s="1786">
        <v>0</v>
      </c>
      <c r="L66" s="1955">
        <v>0</v>
      </c>
      <c r="M66" s="1988">
        <v>0</v>
      </c>
      <c r="N66" s="1988">
        <v>0</v>
      </c>
      <c r="O66" s="1988">
        <v>0</v>
      </c>
      <c r="P66" s="1954">
        <v>0</v>
      </c>
      <c r="Q66" s="970">
        <v>3</v>
      </c>
      <c r="R66" s="970">
        <v>3</v>
      </c>
      <c r="S66" s="1207">
        <v>12</v>
      </c>
      <c r="T66" s="1781">
        <v>31</v>
      </c>
      <c r="U66" s="1781">
        <v>0</v>
      </c>
      <c r="V66" s="1781">
        <v>0</v>
      </c>
      <c r="W66" s="1781">
        <v>0</v>
      </c>
      <c r="X66" s="1781">
        <v>0</v>
      </c>
      <c r="Y66" s="1781">
        <v>0</v>
      </c>
      <c r="Z66" s="1781">
        <v>0</v>
      </c>
      <c r="AA66" s="1781">
        <v>0</v>
      </c>
      <c r="AB66" s="1781">
        <v>0</v>
      </c>
      <c r="AC66" s="1781">
        <v>0</v>
      </c>
      <c r="AD66" s="1781">
        <v>24</v>
      </c>
      <c r="AE66" s="1781">
        <v>0</v>
      </c>
      <c r="AF66" s="1781">
        <v>24</v>
      </c>
      <c r="AG66" s="1781">
        <v>24</v>
      </c>
      <c r="AH66" s="1781">
        <v>11</v>
      </c>
      <c r="AI66" s="1781">
        <v>3</v>
      </c>
      <c r="AJ66" s="1781">
        <v>11</v>
      </c>
      <c r="AK66" s="1781">
        <v>0</v>
      </c>
      <c r="AL66" s="1781">
        <v>4</v>
      </c>
      <c r="AM66" s="1781">
        <v>115</v>
      </c>
      <c r="AN66" s="1137">
        <v>10</v>
      </c>
      <c r="AO66" s="1137">
        <v>10</v>
      </c>
      <c r="AP66" s="1137">
        <v>10</v>
      </c>
      <c r="AQ66" s="1137">
        <v>10</v>
      </c>
      <c r="AR66" s="1137">
        <v>10</v>
      </c>
      <c r="AS66" s="1781">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13F137-D524-69E9-4F5F-782ED0F64D5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2.00390625" hidden="1" customWidth="1"/>
    <col min="10" max="10" style="34657" width="9.8515625" hidden="1" customWidth="1"/>
    <col min="11" max="11" style="34657" width="11.421875" hidden="1" customWidth="1"/>
    <col min="12" max="12" style="35439" width="19.140625" hidden="1" customWidth="1"/>
    <col min="13" max="14" style="35440" width="12.28125" hidden="1" customWidth="1"/>
    <col min="15" max="15" style="35440" width="23.421875" hidden="1" customWidth="1"/>
    <col min="16" max="16" style="35441" width="3.7109375" hidden="1" customWidth="1"/>
    <col min="17" max="18" style="35442" width="3.00390625" customWidth="1"/>
    <col min="19" max="19" style="35443" width="12.00390625" customWidth="1"/>
    <col min="20" max="20" style="34580" width="31.00390625" customWidth="1"/>
    <col min="21" max="21" style="34580" width="0.140625" customWidth="1"/>
    <col min="22" max="22" style="34580" width="24.7109375" hidden="1" customWidth="1"/>
    <col min="23" max="23" style="34580" width="0.140625" hidden="1" customWidth="1"/>
    <col min="24" max="25" style="34580" width="24.710937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24.7109375" customWidth="1"/>
    <col min="31" max="31" style="34580" width="0.140625" customWidth="1"/>
    <col min="32" max="33" style="34580" width="24.00390625" customWidth="1"/>
    <col min="34" max="34" style="34580" width="11.00390625" customWidth="1"/>
    <col min="35" max="35" style="34580" width="3.7109375" customWidth="1"/>
    <col min="36" max="36" style="34580" width="11.00390625" customWidth="1"/>
    <col min="37" max="37" style="34580" width="8.57421875" hidden="1" customWidth="1"/>
    <col min="38" max="38" style="34580" width="4.00390625" customWidth="1"/>
    <col min="39" max="39" style="34580" width="115.00390625" customWidth="1"/>
    <col min="40" max="44" style="34658" width="10.00390625" customWidth="1"/>
    <col min="45" max="45" style="34580" width="10.57421875" hidden="1"/>
  </cols>
  <sheetData>
    <row customHeight="1" ht="22.5" hidden="1">
      <c r="A1" s="2497"/>
      <c r="Y1" s="953"/>
      <c r="Z1" s="953"/>
      <c r="AG1" s="953"/>
      <c r="AH1" s="953"/>
      <c r="AS1" s="1781" t="s">
        <v>14</v>
      </c>
    </row>
    <row customHeight="1" ht="21" hidden="1">
      <c r="A2" s="1989"/>
      <c r="B2" s="1989"/>
      <c r="C2" s="1989"/>
      <c r="D2" s="1989"/>
      <c r="E2" s="2884">
        <v>1</v>
      </c>
      <c r="F2" s="1989"/>
      <c r="G2" s="1989"/>
      <c r="H2" s="1989"/>
      <c r="I2" s="1989"/>
      <c r="J2" s="1989"/>
      <c r="K2" s="1989"/>
      <c r="L2" s="1990"/>
      <c r="M2" s="1991"/>
      <c r="N2" s="1991"/>
      <c r="O2" s="1991"/>
      <c r="P2" s="987"/>
      <c r="Q2" s="986"/>
      <c r="R2" s="981"/>
      <c r="S2" s="1962">
        <f>INDEX(PT_DIFFERENTIATION_NUM_NTAR,MATCH(A2,PT_DIFFERENTIATION_NTAR_ID,0))</f>
      </c>
      <c r="T2" s="924" t="s">
        <v>143</v>
      </c>
      <c r="U2" s="926"/>
      <c r="V2" s="2868"/>
      <c r="W2" s="2869"/>
      <c r="X2" s="2869"/>
      <c r="Y2" s="2869"/>
      <c r="Z2" s="2869"/>
      <c r="AA2" s="2869"/>
      <c r="AB2" s="2869"/>
      <c r="AC2" s="2870"/>
      <c r="AD2" s="2868">
        <f>INDEX(PT_DIFFERENTIATION_NTAR,MATCH(A2,PT_DIFFERENTIATION_NTAR_ID,0))</f>
      </c>
      <c r="AE2" s="2869"/>
      <c r="AF2" s="2869"/>
      <c r="AG2" s="2869"/>
      <c r="AH2" s="2869"/>
      <c r="AI2" s="2869"/>
      <c r="AJ2" s="2869"/>
      <c r="AK2" s="2869"/>
      <c r="AL2" s="2870"/>
      <c r="AM2" s="1884" t="s">
        <v>414</v>
      </c>
      <c r="AO2" s="1126"/>
      <c r="AP2" s="1126" t="str">
        <f>IF(T2="","",T2)</f>
        <v>Наименование тарифа</v>
      </c>
      <c r="AQ2" s="1126"/>
      <c r="AR2" s="1126"/>
      <c r="AS2" s="1781">
        <v>0</v>
      </c>
    </row>
    <row customHeight="1" ht="21" hidden="1">
      <c r="A3" s="1989"/>
      <c r="B3" s="1989"/>
      <c r="C3" s="1989"/>
      <c r="D3" s="1989"/>
      <c r="E3" s="2885"/>
      <c r="F3" s="2884">
        <v>1</v>
      </c>
      <c r="G3" s="1989"/>
      <c r="H3" s="1989"/>
      <c r="I3" s="1989"/>
      <c r="J3" s="1989"/>
      <c r="K3" s="1989"/>
      <c r="L3" s="1990"/>
      <c r="M3" s="1991"/>
      <c r="N3" s="1991"/>
      <c r="O3" s="1991"/>
      <c r="P3" s="1958"/>
      <c r="Q3" s="978"/>
      <c r="R3" s="979"/>
      <c r="S3" s="1962">
        <f>INDEX(PT_DIFFERENTIATION_NUM_TER,MATCH(B3,PT_DIFFERENTIATION_TER_ID,0))</f>
      </c>
      <c r="T3" s="934" t="s">
        <v>415</v>
      </c>
      <c r="U3" s="926"/>
      <c r="V3" s="2868"/>
      <c r="W3" s="2869"/>
      <c r="X3" s="2869"/>
      <c r="Y3" s="2869"/>
      <c r="Z3" s="2869"/>
      <c r="AA3" s="2869"/>
      <c r="AB3" s="2869"/>
      <c r="AC3" s="2870"/>
      <c r="AD3" s="2868">
        <f>INDEX(PT_DIFFERENTIATION_TER,MATCH(B3,PT_DIFFERENTIATION_TER_ID,0))</f>
      </c>
      <c r="AE3" s="2869"/>
      <c r="AF3" s="2869"/>
      <c r="AG3" s="2869"/>
      <c r="AH3" s="2869"/>
      <c r="AI3" s="2869"/>
      <c r="AJ3" s="2869"/>
      <c r="AK3" s="2869"/>
      <c r="AL3" s="2870"/>
      <c r="AM3" s="1884" t="s">
        <v>416</v>
      </c>
      <c r="AO3" s="1126"/>
      <c r="AP3" s="1126" t="str">
        <f>IF(T3="","",T3)</f>
        <v>Территория действия тарифа</v>
      </c>
      <c r="AQ3" s="1126"/>
      <c r="AR3" s="1126"/>
      <c r="AS3" s="1781">
        <v>0</v>
      </c>
    </row>
    <row customHeight="1" ht="23.25" hidden="1">
      <c r="A4" s="1989"/>
      <c r="B4" s="1989"/>
      <c r="C4" s="1989"/>
      <c r="D4" s="1989"/>
      <c r="E4" s="2885"/>
      <c r="F4" s="2885"/>
      <c r="G4" s="2884">
        <v>1</v>
      </c>
      <c r="H4" s="1989"/>
      <c r="I4" s="1989"/>
      <c r="J4" s="1989"/>
      <c r="K4" s="1989"/>
      <c r="L4" s="1990"/>
      <c r="M4" s="1991"/>
      <c r="N4" s="1991"/>
      <c r="O4" s="1991"/>
      <c r="P4" s="980"/>
      <c r="Q4" s="978"/>
      <c r="R4" s="979"/>
      <c r="S4" s="2634">
        <f>INDEX(PT_DIFFERENTIATION_NUM_CS,MATCH(C4,PT_DIFFERENTIATION_CS_ID,0))</f>
      </c>
      <c r="T4" s="2638" t="s">
        <v>417</v>
      </c>
      <c r="U4" s="2639"/>
      <c r="V4" s="2926"/>
      <c r="W4" s="2927"/>
      <c r="X4" s="2927"/>
      <c r="Y4" s="2927"/>
      <c r="Z4" s="2927"/>
      <c r="AA4" s="2927"/>
      <c r="AB4" s="2927"/>
      <c r="AC4" s="2928"/>
      <c r="AD4" s="2926">
        <f>INDEX(PT_DIFFERENTIATION_CS,MATCH(C4,PT_DIFFERENTIATION_CS_ID,0))</f>
      </c>
      <c r="AE4" s="2927"/>
      <c r="AF4" s="2927"/>
      <c r="AG4" s="2927"/>
      <c r="AH4" s="2927"/>
      <c r="AI4" s="2927"/>
      <c r="AJ4" s="2927"/>
      <c r="AK4" s="2927"/>
      <c r="AL4" s="2928"/>
      <c r="AM4" s="1884" t="s">
        <v>418</v>
      </c>
      <c r="AO4" s="1126"/>
      <c r="AP4" s="1126" t="str">
        <f>IF(T4="","",T4)</f>
        <v>Наименование системы теплоснабжения </v>
      </c>
      <c r="AQ4" s="1126"/>
      <c r="AR4" s="1126"/>
      <c r="AS4" s="1781">
        <v>0</v>
      </c>
    </row>
    <row customHeight="1" ht="21" hidden="1">
      <c r="A5" s="1989"/>
      <c r="B5" s="1989"/>
      <c r="C5" s="1989"/>
      <c r="D5" s="1989"/>
      <c r="E5" s="2885"/>
      <c r="F5" s="2885"/>
      <c r="G5" s="2885"/>
      <c r="H5" s="2884">
        <v>1</v>
      </c>
      <c r="I5" s="1989"/>
      <c r="J5" s="1989"/>
      <c r="K5" s="1989"/>
      <c r="L5" s="1990"/>
      <c r="M5" s="1991"/>
      <c r="N5" s="1991"/>
      <c r="O5" s="1991"/>
      <c r="P5" s="980"/>
      <c r="Q5" s="978"/>
      <c r="R5" s="2261"/>
      <c r="S5" s="2633">
        <f>INDEX(PT_DIFFERENTIATION_NUM_IST_TE,MATCH(D5,PT_DIFFERENTIATION_IST_TE_ID,0))</f>
      </c>
      <c r="T5" s="936" t="s">
        <v>419</v>
      </c>
      <c r="U5" s="926"/>
      <c r="V5" s="2929"/>
      <c r="W5" s="2929"/>
      <c r="X5" s="2929"/>
      <c r="Y5" s="2929"/>
      <c r="Z5" s="2929"/>
      <c r="AA5" s="2929"/>
      <c r="AB5" s="2929"/>
      <c r="AC5" s="2929"/>
      <c r="AD5" s="2929">
        <f>INDEX(PT_DIFFERENTIATION_IST_TE,MATCH(D5,PT_DIFFERENTIATION_IST_TE_ID,0))</f>
      </c>
      <c r="AE5" s="2929"/>
      <c r="AF5" s="2929"/>
      <c r="AG5" s="2929"/>
      <c r="AH5" s="2929"/>
      <c r="AI5" s="2929"/>
      <c r="AJ5" s="2929"/>
      <c r="AK5" s="2929"/>
      <c r="AL5" s="2929"/>
      <c r="AM5" s="2636" t="s">
        <v>420</v>
      </c>
      <c r="AO5" s="1126"/>
      <c r="AP5" s="1126" t="str">
        <f>IF(T5="","",T5)</f>
        <v>Источник тепловой энергии  </v>
      </c>
      <c r="AQ5" s="1126"/>
      <c r="AR5" s="1126"/>
      <c r="AS5" s="1781">
        <v>0</v>
      </c>
    </row>
    <row customHeight="1" ht="0.75" hidden="1">
      <c r="A6" s="1989"/>
      <c r="B6" s="1989"/>
      <c r="C6" s="1989"/>
      <c r="D6" s="1989"/>
      <c r="E6" s="2885"/>
      <c r="F6" s="2885"/>
      <c r="G6" s="2885"/>
      <c r="H6" s="2885"/>
      <c r="I6" s="2882">
        <f>S5&amp;".1"</f>
      </c>
      <c r="J6" s="1989"/>
      <c r="K6" s="1989"/>
      <c r="L6" s="1990" t="s">
        <v>421</v>
      </c>
      <c r="M6" s="1163"/>
      <c r="P6" s="2883">
        <v>1</v>
      </c>
      <c r="Q6" s="1957"/>
      <c r="R6" s="2632"/>
      <c r="S6" s="1668"/>
      <c r="T6" s="2009"/>
      <c r="U6" s="2010"/>
      <c r="V6" s="2930"/>
      <c r="W6" s="2930"/>
      <c r="X6" s="2930"/>
      <c r="Y6" s="2930"/>
      <c r="Z6" s="2930"/>
      <c r="AA6" s="2930"/>
      <c r="AB6" s="2930"/>
      <c r="AC6" s="2930"/>
      <c r="AD6" s="2930"/>
      <c r="AE6" s="2930"/>
      <c r="AF6" s="2930"/>
      <c r="AG6" s="2930"/>
      <c r="AH6" s="2930"/>
      <c r="AI6" s="2930"/>
      <c r="AJ6" s="2930"/>
      <c r="AK6" s="2930"/>
      <c r="AL6" s="2930"/>
      <c r="AM6" s="2637"/>
      <c r="AO6" s="1126"/>
      <c r="AP6" s="1126" t="str">
        <f>IF(T6="","",T6)</f>
        <v/>
      </c>
      <c r="AQ6" s="1126"/>
      <c r="AR6" s="1126"/>
      <c r="AS6" s="1781">
        <v>0</v>
      </c>
    </row>
    <row customHeight="1" ht="84" hidden="1">
      <c r="A7" s="1989"/>
      <c r="B7" s="1989"/>
      <c r="C7" s="1989"/>
      <c r="D7" s="1989"/>
      <c r="E7" s="2885"/>
      <c r="F7" s="2885"/>
      <c r="G7" s="2885"/>
      <c r="H7" s="2885"/>
      <c r="I7" s="2912"/>
      <c r="J7" s="2882">
        <f>I6&amp;".1"</f>
      </c>
      <c r="K7" s="1989"/>
      <c r="L7" s="1990" t="s">
        <v>424</v>
      </c>
      <c r="M7" s="1163"/>
      <c r="N7" s="1992"/>
      <c r="P7" s="2883"/>
      <c r="Q7" s="2883">
        <v>1</v>
      </c>
      <c r="R7" s="2268"/>
      <c r="S7" s="2633">
        <f>$J7</f>
      </c>
      <c r="T7" s="912" t="s">
        <v>425</v>
      </c>
      <c r="U7" s="926"/>
      <c r="V7" s="2931"/>
      <c r="W7" s="2931"/>
      <c r="X7" s="2931"/>
      <c r="Y7" s="2931"/>
      <c r="Z7" s="2931"/>
      <c r="AA7" s="2931"/>
      <c r="AB7" s="2931"/>
      <c r="AC7" s="2931"/>
      <c r="AD7" s="2931"/>
      <c r="AE7" s="2931"/>
      <c r="AF7" s="2931"/>
      <c r="AG7" s="2931"/>
      <c r="AH7" s="2931"/>
      <c r="AI7" s="2931"/>
      <c r="AJ7" s="2931"/>
      <c r="AK7" s="2931"/>
      <c r="AL7" s="2931"/>
      <c r="AM7" s="2636" t="s">
        <v>426</v>
      </c>
      <c r="AO7" s="1126"/>
      <c r="AP7" s="1126" t="str">
        <f>IF(T7="","",T7)</f>
        <v>Группа потребителей</v>
      </c>
      <c r="AQ7" s="1126"/>
      <c r="AR7" s="1126"/>
      <c r="AS7" s="1781">
        <v>0</v>
      </c>
    </row>
    <row customHeight="1" ht="11.25" hidden="1">
      <c r="A8" s="1989"/>
      <c r="B8" s="1989"/>
      <c r="C8" s="1989"/>
      <c r="D8" s="1989"/>
      <c r="E8" s="2885"/>
      <c r="F8" s="2885"/>
      <c r="G8" s="2885"/>
      <c r="H8" s="2885"/>
      <c r="I8" s="2912"/>
      <c r="J8" s="2912"/>
      <c r="K8" s="2882">
        <f>J7&amp;".1"</f>
      </c>
      <c r="L8" s="1990" t="s">
        <v>427</v>
      </c>
      <c r="M8" s="1163"/>
      <c r="N8" s="1992"/>
      <c r="O8" s="1992"/>
      <c r="P8" s="2883"/>
      <c r="Q8" s="2883"/>
      <c r="R8" s="983">
        <v>1</v>
      </c>
      <c r="S8" s="2635">
        <f>$K8</f>
      </c>
      <c r="T8" s="2640"/>
      <c r="U8" s="2641"/>
      <c r="V8" s="2642"/>
      <c r="W8" s="1975"/>
      <c r="X8" s="2642"/>
      <c r="Y8" s="2643"/>
      <c r="Z8" s="2932"/>
      <c r="AA8" s="2738" t="s">
        <v>66</v>
      </c>
      <c r="AB8" s="2932"/>
      <c r="AC8" s="2738" t="s">
        <v>66</v>
      </c>
      <c r="AD8" s="2642"/>
      <c r="AE8" s="1975"/>
      <c r="AF8" s="2642"/>
      <c r="AG8" s="2643"/>
      <c r="AH8" s="2932"/>
      <c r="AI8" s="2738" t="s">
        <v>66</v>
      </c>
      <c r="AJ8" s="2932"/>
      <c r="AK8" s="2738" t="s">
        <v>66</v>
      </c>
      <c r="AL8" s="1975"/>
      <c r="AM8" s="2879" t="s">
        <v>428</v>
      </c>
      <c r="AN8" s="1137">
        <f>STRCHECKDATE(V9:AL9)</f>
      </c>
      <c r="AO8" s="1126"/>
      <c r="AP8" s="1126" t="str">
        <f>IF(T8="","",T8)</f>
        <v/>
      </c>
      <c r="AQ8" s="1126"/>
      <c r="AR8" s="1126"/>
      <c r="AS8" s="1781">
        <v>0</v>
      </c>
    </row>
    <row customHeight="1" ht="0.75" hidden="1">
      <c r="A9" s="1989"/>
      <c r="B9" s="1989"/>
      <c r="C9" s="1989"/>
      <c r="D9" s="1989"/>
      <c r="E9" s="2885"/>
      <c r="F9" s="2885"/>
      <c r="G9" s="2885"/>
      <c r="H9" s="2885"/>
      <c r="I9" s="2912"/>
      <c r="J9" s="2912"/>
      <c r="K9" s="2882"/>
      <c r="L9" s="1990"/>
      <c r="M9" s="1163"/>
      <c r="N9" s="1992"/>
      <c r="O9" s="1992"/>
      <c r="P9" s="2883"/>
      <c r="Q9" s="2883"/>
      <c r="R9" s="983"/>
      <c r="S9" s="1968"/>
      <c r="T9" s="926"/>
      <c r="U9" s="926"/>
      <c r="V9" s="951"/>
      <c r="W9" s="951"/>
      <c r="X9" s="951"/>
      <c r="Y9" s="954" t="str">
        <f>Z8&amp;"-"&amp;AB8</f>
        <v>-</v>
      </c>
      <c r="Z9" s="2892"/>
      <c r="AA9" s="2733"/>
      <c r="AB9" s="2892"/>
      <c r="AC9" s="2733"/>
      <c r="AD9" s="951"/>
      <c r="AE9" s="951"/>
      <c r="AF9" s="951"/>
      <c r="AG9" s="954" t="str">
        <f>AH8&amp;"-"&amp;AJ8</f>
        <v>-</v>
      </c>
      <c r="AH9" s="2892"/>
      <c r="AI9" s="2733"/>
      <c r="AJ9" s="2892"/>
      <c r="AK9" s="2733"/>
      <c r="AL9" s="951"/>
      <c r="AM9" s="2880"/>
      <c r="AO9" s="1126"/>
      <c r="AP9" s="1126" t="str">
        <f>IF(T9="","",T9)</f>
        <v/>
      </c>
      <c r="AQ9" s="1126"/>
      <c r="AR9" s="1126"/>
      <c r="AS9" s="1781">
        <v>0</v>
      </c>
    </row>
    <row customHeight="1" ht="11.25" hidden="1">
      <c r="A10" s="1989"/>
      <c r="B10" s="1989"/>
      <c r="C10" s="1989"/>
      <c r="D10" s="1989"/>
      <c r="E10" s="2885"/>
      <c r="F10" s="2885"/>
      <c r="G10" s="2885"/>
      <c r="H10" s="2885"/>
      <c r="I10" s="2912"/>
      <c r="J10" s="2882"/>
      <c r="K10" s="1989"/>
      <c r="L10" s="1990"/>
      <c r="M10" s="1163"/>
      <c r="N10" s="1992"/>
      <c r="P10" s="2883"/>
      <c r="Q10" s="2883"/>
      <c r="R10" s="982"/>
      <c r="S10" s="1904"/>
      <c r="T10" s="913" t="s">
        <v>429</v>
      </c>
      <c r="U10" s="993"/>
      <c r="V10" s="993"/>
      <c r="W10" s="993"/>
      <c r="X10" s="993"/>
      <c r="Y10" s="993"/>
      <c r="Z10" s="993"/>
      <c r="AA10" s="993"/>
      <c r="AB10" s="993"/>
      <c r="AC10" s="993"/>
      <c r="AD10" s="993"/>
      <c r="AE10" s="993"/>
      <c r="AF10" s="993"/>
      <c r="AG10" s="993"/>
      <c r="AH10" s="993"/>
      <c r="AI10" s="993"/>
      <c r="AJ10" s="993"/>
      <c r="AK10" s="993"/>
      <c r="AL10" s="950"/>
      <c r="AM10" s="2881"/>
      <c r="AO10" s="1126"/>
      <c r="AP10" s="1126" t="str">
        <f>IF(T10="","",T10)</f>
        <v>Добавить вид теплоносителя (параметры теплоносителя)</v>
      </c>
      <c r="AQ10" s="1126"/>
      <c r="AR10" s="1126"/>
      <c r="AS10" s="1781">
        <v>0</v>
      </c>
    </row>
    <row customHeight="1" ht="11.25" hidden="1">
      <c r="A11" s="1989"/>
      <c r="B11" s="1989"/>
      <c r="C11" s="1989"/>
      <c r="D11" s="1989"/>
      <c r="E11" s="2885"/>
      <c r="F11" s="2885"/>
      <c r="G11" s="2885"/>
      <c r="H11" s="2885"/>
      <c r="I11" s="2882"/>
      <c r="J11" s="1989"/>
      <c r="K11" s="1989"/>
      <c r="L11" s="1990"/>
      <c r="M11" s="1163"/>
      <c r="P11" s="2883"/>
      <c r="Q11" s="1957"/>
      <c r="R11" s="982"/>
      <c r="S11" s="1904"/>
      <c r="T11" s="991" t="s">
        <v>430</v>
      </c>
      <c r="U11" s="993"/>
      <c r="V11" s="993"/>
      <c r="W11" s="993"/>
      <c r="X11" s="993"/>
      <c r="Y11" s="993"/>
      <c r="Z11" s="993"/>
      <c r="AA11" s="993"/>
      <c r="AB11" s="993"/>
      <c r="AC11" s="992"/>
      <c r="AD11" s="993"/>
      <c r="AE11" s="993"/>
      <c r="AF11" s="993"/>
      <c r="AG11" s="993"/>
      <c r="AH11" s="993"/>
      <c r="AI11" s="993"/>
      <c r="AJ11" s="993"/>
      <c r="AK11" s="992"/>
      <c r="AL11" s="993"/>
      <c r="AM11" s="929"/>
      <c r="AO11" s="1126"/>
      <c r="AP11" s="1126" t="str">
        <f>IF(T11="","",T11)</f>
        <v>Добавить группу потребителей</v>
      </c>
      <c r="AQ11" s="1126"/>
      <c r="AR11" s="1126"/>
      <c r="AS11" s="1781">
        <v>0</v>
      </c>
    </row>
    <row customHeight="1" ht="0.75" hidden="1">
      <c r="A12" s="1989"/>
      <c r="B12" s="1989"/>
      <c r="C12" s="1989"/>
      <c r="D12" s="1989"/>
      <c r="E12" s="2885"/>
      <c r="F12" s="2885"/>
      <c r="G12" s="2885"/>
      <c r="H12" s="2884"/>
      <c r="I12" s="1989"/>
      <c r="J12" s="1989"/>
      <c r="K12" s="1989"/>
      <c r="L12" s="1990"/>
      <c r="M12" s="1991"/>
      <c r="N12" s="1991"/>
      <c r="O12" s="1163"/>
      <c r="P12" s="986"/>
      <c r="Q12" s="1001"/>
      <c r="R12" s="981"/>
      <c r="S12" s="2012"/>
      <c r="T12" s="2013"/>
      <c r="U12" s="2014"/>
      <c r="V12" s="2014"/>
      <c r="W12" s="2014"/>
      <c r="X12" s="2014"/>
      <c r="Y12" s="2014"/>
      <c r="Z12" s="2014"/>
      <c r="AA12" s="2014"/>
      <c r="AB12" s="2014"/>
      <c r="AC12" s="2014"/>
      <c r="AD12" s="2014"/>
      <c r="AE12" s="2014"/>
      <c r="AF12" s="2014"/>
      <c r="AG12" s="2014"/>
      <c r="AH12" s="2014"/>
      <c r="AI12" s="2014"/>
      <c r="AJ12" s="2014"/>
      <c r="AK12" s="2014"/>
      <c r="AL12" s="2014"/>
      <c r="AM12" s="2015"/>
      <c r="AO12" s="1126"/>
      <c r="AP12" s="1126" t="str">
        <f>IF(T12="","",T12)</f>
        <v/>
      </c>
      <c r="AQ12" s="1126"/>
      <c r="AR12" s="1126"/>
      <c r="AS12" s="1781">
        <v>0</v>
      </c>
    </row>
    <row s="34658" customFormat="1" customHeight="1" ht="0.75" hidden="1">
      <c r="A13" s="1940"/>
      <c r="B13" s="1940"/>
      <c r="C13" s="1940"/>
      <c r="D13" s="1940"/>
      <c r="E13" s="2885"/>
      <c r="F13" s="2885"/>
      <c r="G13" s="2884"/>
      <c r="H13" s="1940"/>
      <c r="I13" s="1940"/>
      <c r="J13" s="1940"/>
      <c r="K13" s="1940"/>
      <c r="L13" s="1965"/>
      <c r="M13" s="1941"/>
      <c r="N13" s="1941"/>
      <c r="P13" s="1942"/>
      <c r="Q13" s="1943"/>
      <c r="R13" s="1942"/>
      <c r="S13" s="1944"/>
      <c r="T13" s="1945" t="s">
        <v>432</v>
      </c>
      <c r="U13" s="1946"/>
      <c r="V13" s="1946"/>
      <c r="W13" s="1946"/>
      <c r="X13" s="1946"/>
      <c r="Y13" s="1946"/>
      <c r="Z13" s="1946"/>
      <c r="AA13" s="1946"/>
      <c r="AB13" s="1946"/>
      <c r="AC13" s="1946"/>
      <c r="AD13" s="1946"/>
      <c r="AE13" s="1946"/>
      <c r="AF13" s="1946"/>
      <c r="AG13" s="1946"/>
      <c r="AH13" s="1946"/>
      <c r="AI13" s="1946"/>
      <c r="AJ13" s="1946"/>
      <c r="AK13" s="1946"/>
      <c r="AL13" s="1946"/>
      <c r="AM13" s="1946"/>
      <c r="AO13" s="1415"/>
      <c r="AP13" s="1415" t="str">
        <f>IF(T13="","",T13)</f>
        <v>Добавить источник для дифференциации</v>
      </c>
      <c r="AQ13" s="1415"/>
      <c r="AR13" s="1415"/>
      <c r="AS13" s="1144">
        <v>0</v>
      </c>
    </row>
    <row s="34658" customFormat="1" customHeight="1" ht="0.75" hidden="1">
      <c r="A14" s="1940"/>
      <c r="B14" s="1940"/>
      <c r="C14" s="1940"/>
      <c r="D14" s="1940"/>
      <c r="E14" s="2885"/>
      <c r="F14" s="2884"/>
      <c r="G14" s="1940"/>
      <c r="H14" s="1940"/>
      <c r="I14" s="1940"/>
      <c r="J14" s="1940"/>
      <c r="K14" s="1940"/>
      <c r="L14" s="1965"/>
      <c r="M14" s="1947"/>
      <c r="N14" s="1947"/>
      <c r="P14" s="1942"/>
      <c r="Q14" s="1943"/>
      <c r="R14" s="1942"/>
      <c r="S14" s="1948"/>
      <c r="T14" s="1949" t="s">
        <v>433</v>
      </c>
      <c r="U14" s="1950"/>
      <c r="V14" s="1950"/>
      <c r="W14" s="1950"/>
      <c r="X14" s="1950"/>
      <c r="Y14" s="1950"/>
      <c r="Z14" s="1950"/>
      <c r="AA14" s="1950"/>
      <c r="AB14" s="1950"/>
      <c r="AC14" s="1950"/>
      <c r="AD14" s="1950"/>
      <c r="AE14" s="1950"/>
      <c r="AF14" s="1950"/>
      <c r="AG14" s="1950"/>
      <c r="AH14" s="1950"/>
      <c r="AI14" s="1950"/>
      <c r="AJ14" s="1950"/>
      <c r="AK14" s="1950"/>
      <c r="AL14" s="1950"/>
      <c r="AM14" s="1950"/>
      <c r="AO14" s="1415"/>
      <c r="AP14" s="1415" t="str">
        <f>IF(T14="","",T14)</f>
        <v>Добавить централизованную систему для дифференциации</v>
      </c>
      <c r="AQ14" s="1415"/>
      <c r="AR14" s="1415"/>
      <c r="AS14" s="1144">
        <v>0</v>
      </c>
    </row>
    <row s="34658" customFormat="1" customHeight="1" ht="0.75" hidden="1">
      <c r="A15" s="1940"/>
      <c r="B15" s="1940"/>
      <c r="C15" s="1940"/>
      <c r="D15" s="1940"/>
      <c r="E15" s="2884"/>
      <c r="F15" s="1940"/>
      <c r="G15" s="1940"/>
      <c r="H15" s="1940"/>
      <c r="I15" s="1940"/>
      <c r="J15" s="1940"/>
      <c r="K15" s="1940"/>
      <c r="L15" s="1965"/>
      <c r="M15" s="1947"/>
      <c r="N15" s="1947"/>
      <c r="P15" s="1942"/>
      <c r="Q15" s="1943"/>
      <c r="R15" s="1942"/>
      <c r="S15" s="1948"/>
      <c r="T15" s="1951" t="s">
        <v>434</v>
      </c>
      <c r="U15" s="1950"/>
      <c r="V15" s="1950"/>
      <c r="W15" s="1950"/>
      <c r="X15" s="1950"/>
      <c r="Y15" s="1950"/>
      <c r="Z15" s="1950"/>
      <c r="AA15" s="1950"/>
      <c r="AB15" s="1950"/>
      <c r="AC15" s="1950"/>
      <c r="AD15" s="1950"/>
      <c r="AE15" s="1950"/>
      <c r="AF15" s="1950"/>
      <c r="AG15" s="1950"/>
      <c r="AH15" s="1950"/>
      <c r="AI15" s="1950"/>
      <c r="AJ15" s="1950"/>
      <c r="AK15" s="1950"/>
      <c r="AL15" s="1950"/>
      <c r="AM15" s="1950"/>
      <c r="AO15" s="1415"/>
      <c r="AP15" s="1415" t="str">
        <f>IF(T15="","",T15)</f>
        <v>Добавить территорию для дифференциации</v>
      </c>
      <c r="AQ15" s="1415"/>
      <c r="AR15" s="1415"/>
      <c r="AS15" s="1144">
        <v>0</v>
      </c>
    </row>
    <row customHeight="1" ht="14.25" hidden="1">
      <c r="AC16" s="953"/>
      <c r="AK16" s="953"/>
      <c r="AS16" s="1781">
        <v>0</v>
      </c>
    </row>
    <row customHeight="1" ht="14.25" hidden="1">
      <c r="AD17" s="1986"/>
      <c r="AE17" s="1986"/>
      <c r="AF17" s="1986"/>
      <c r="AG17" s="1987"/>
      <c r="AH17" s="2893"/>
      <c r="AI17" s="2894" t="s">
        <v>66</v>
      </c>
      <c r="AJ17" s="2893"/>
      <c r="AK17" s="2894" t="s">
        <v>66</v>
      </c>
      <c r="AS17" s="1781">
        <v>0</v>
      </c>
    </row>
    <row customHeight="1" ht="14.25" hidden="1">
      <c r="AD18" s="1986"/>
      <c r="AE18" s="1986"/>
      <c r="AF18" s="1986"/>
      <c r="AG18" s="954" t="str">
        <f>AH17&amp;"-"&amp;AJ17</f>
        <v>-</v>
      </c>
      <c r="AH18" s="2894"/>
      <c r="AI18" s="2894"/>
      <c r="AJ18" s="2894"/>
      <c r="AK18" s="2894"/>
      <c r="AS18" s="1781">
        <v>0</v>
      </c>
    </row>
    <row customHeight="1" ht="14.25" hidden="1">
      <c r="AK19" s="953"/>
      <c r="AS19" s="1781">
        <v>0</v>
      </c>
    </row>
    <row s="34657" customFormat="1" customHeight="1" ht="22.5" hidden="1">
      <c r="L20" s="1955"/>
      <c r="M20" s="1988"/>
      <c r="N20" s="1988"/>
      <c r="O20" s="1993" t="s">
        <v>435</v>
      </c>
      <c r="P20" s="1988"/>
      <c r="Q20" s="1997"/>
      <c r="R20" s="1997"/>
      <c r="S20" s="1355"/>
      <c r="Z20" s="1993"/>
      <c r="AB20" s="1993"/>
      <c r="AC20" s="1992"/>
      <c r="AH20" s="1993"/>
      <c r="AJ20" s="1993"/>
      <c r="AK20" s="1992"/>
      <c r="AN20" s="1137"/>
      <c r="AO20" s="1137"/>
      <c r="AP20" s="1137"/>
      <c r="AQ20" s="1137"/>
      <c r="AR20" s="1137"/>
      <c r="AS20" s="1786">
        <v>0</v>
      </c>
    </row>
    <row s="34657" customFormat="1" customHeight="1" ht="14.25" hidden="1">
      <c r="L21" s="1955"/>
      <c r="M21" s="1988"/>
      <c r="N21" s="1988"/>
      <c r="O21" s="1988"/>
      <c r="P21" s="1988"/>
      <c r="Q21" s="1997"/>
      <c r="R21" s="1997"/>
      <c r="S21" s="1355"/>
      <c r="AC21" s="1992"/>
      <c r="AK21" s="1992"/>
      <c r="AN21" s="1137"/>
      <c r="AO21" s="1137"/>
      <c r="AP21" s="1137"/>
      <c r="AQ21" s="1137"/>
      <c r="AR21" s="1137"/>
      <c r="AS21" s="1786">
        <v>0</v>
      </c>
    </row>
    <row s="34657" customFormat="1" customHeight="1" ht="14.25" hidden="1">
      <c r="L22" s="1955"/>
      <c r="M22" s="1988"/>
      <c r="N22" s="1988"/>
      <c r="O22" s="1990" t="s">
        <v>436</v>
      </c>
      <c r="P22" s="1988"/>
      <c r="Q22" s="1997"/>
      <c r="R22" s="1997"/>
      <c r="S22" s="1355"/>
      <c r="T22" s="1786" t="s">
        <v>437</v>
      </c>
      <c r="AA22" s="812" t="s">
        <v>438</v>
      </c>
      <c r="AC22" s="812" t="s">
        <v>439</v>
      </c>
      <c r="AD22" s="1786" t="s">
        <v>437</v>
      </c>
      <c r="AI22" s="812" t="s">
        <v>440</v>
      </c>
      <c r="AK22" s="812" t="s">
        <v>439</v>
      </c>
      <c r="AN22" s="1137"/>
      <c r="AO22" s="1137"/>
      <c r="AP22" s="1137"/>
      <c r="AQ22" s="1137"/>
      <c r="AR22" s="1137"/>
      <c r="AS22" s="1786">
        <v>0</v>
      </c>
    </row>
    <row customHeight="1" ht="14.25" hidden="1">
      <c r="O23" s="1990"/>
      <c r="AS23" s="1781">
        <v>0</v>
      </c>
    </row>
    <row customHeight="1" ht="14.25" hidden="1">
      <c r="O24" s="1990"/>
      <c r="AS24" s="1781">
        <v>0</v>
      </c>
    </row>
    <row customHeight="1" ht="14.699999999999998">
      <c r="Q25" s="1002"/>
      <c r="R25" s="1002"/>
      <c r="S25" s="1901"/>
      <c r="T25" s="989"/>
      <c r="U25" s="989"/>
      <c r="V25" s="1135"/>
      <c r="W25" s="1135"/>
      <c r="X25" s="1135"/>
      <c r="Y25" s="1135"/>
      <c r="Z25" s="1135"/>
      <c r="AA25" s="1135"/>
      <c r="AB25" s="1135"/>
      <c r="AC25" s="1135"/>
      <c r="AD25" s="1135"/>
      <c r="AE25" s="1135"/>
      <c r="AF25" s="1135"/>
      <c r="AG25" s="1135"/>
      <c r="AH25" s="1135"/>
      <c r="AI25" s="1135"/>
      <c r="AJ25" s="1135"/>
      <c r="AK25" s="1135"/>
      <c r="AS25" s="1781">
        <v>14</v>
      </c>
    </row>
    <row customHeight="1" ht="54.75">
      <c r="Q26" s="1002"/>
      <c r="R26" s="1002"/>
      <c r="S26" s="29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3"/>
      <c r="U26" s="2933"/>
      <c r="V26" s="2933"/>
      <c r="W26" s="2933"/>
      <c r="X26" s="2933"/>
      <c r="Y26" s="2933"/>
      <c r="Z26" s="2933"/>
      <c r="AA26" s="2933"/>
      <c r="AB26" s="2933"/>
      <c r="AC26" s="2933"/>
      <c r="AD26" s="2933"/>
      <c r="AE26" s="2933"/>
      <c r="AF26" s="2933"/>
      <c r="AG26" s="2933"/>
      <c r="AH26" s="2933"/>
      <c r="AI26" s="2933"/>
      <c r="AJ26" s="2933"/>
      <c r="AK26" s="1869"/>
      <c r="AS26" s="1781">
        <v>52</v>
      </c>
    </row>
    <row customHeight="1" ht="14.699999999999998">
      <c r="Q27" s="1002"/>
      <c r="R27" s="1002"/>
      <c r="S27" s="2875" t="str">
        <f>IF(org=0,"Не определено",org)</f>
        <v>АО "ДГК"</v>
      </c>
      <c r="T27" s="2875"/>
      <c r="U27" s="2875"/>
      <c r="V27" s="2875"/>
      <c r="W27" s="2875"/>
      <c r="X27" s="2875"/>
      <c r="Y27" s="2875"/>
      <c r="Z27" s="2875"/>
      <c r="AA27" s="2875"/>
      <c r="AB27" s="2875"/>
      <c r="AC27" s="2875"/>
      <c r="AD27" s="2875"/>
      <c r="AE27" s="2875"/>
      <c r="AF27" s="2875"/>
      <c r="AG27" s="2875"/>
      <c r="AH27" s="2875"/>
      <c r="AI27" s="2875"/>
      <c r="AJ27" s="2875"/>
      <c r="AK27" s="1869"/>
      <c r="AS27" s="1781">
        <v>14</v>
      </c>
    </row>
    <row customHeight="1" ht="14.25" hidden="1">
      <c r="Q28" s="1002"/>
      <c r="R28" s="1002"/>
      <c r="S28" s="1901"/>
      <c r="T28" s="989"/>
      <c r="U28" s="989"/>
      <c r="V28" s="948"/>
      <c r="W28" s="948"/>
      <c r="X28" s="948"/>
      <c r="Y28" s="948"/>
      <c r="Z28" s="948"/>
      <c r="AA28" s="948"/>
      <c r="AB28" s="948"/>
      <c r="AC28" s="948"/>
      <c r="AD28" s="948"/>
      <c r="AE28" s="948"/>
      <c r="AF28" s="948"/>
      <c r="AG28" s="948"/>
      <c r="AH28" s="948"/>
      <c r="AI28" s="948"/>
      <c r="AJ28" s="948"/>
      <c r="AK28" s="948"/>
      <c r="AL28" s="1135"/>
      <c r="AS28" s="1781">
        <v>0</v>
      </c>
    </row>
    <row s="34794" customFormat="1" customHeight="1" ht="25.5" hidden="1">
      <c r="A29" s="1994"/>
      <c r="B29" s="1994"/>
      <c r="C29" s="1994"/>
      <c r="D29" s="1994"/>
      <c r="E29" s="1994"/>
      <c r="F29" s="1994"/>
      <c r="G29" s="1994"/>
      <c r="H29" s="1994"/>
      <c r="I29" s="1994"/>
      <c r="J29" s="1994"/>
      <c r="K29" s="1994"/>
      <c r="L29" s="1995"/>
      <c r="M29" s="1994"/>
      <c r="N29" s="1994"/>
      <c r="O29" s="1994"/>
      <c r="S29" s="2876" t="s">
        <v>42</v>
      </c>
      <c r="T29" s="2876"/>
      <c r="U29" s="1998"/>
      <c r="V29" s="2877" t="str">
        <f>IF(TITLE_NAME_OR_PR_CHANGE="",IF(TITLE_NAME_OR_PR="","",TITLE_NAME_OR_PR),TITLE_NAME_OR_PR_CHANGE)</f>
        <v/>
      </c>
      <c r="W29" s="2877"/>
      <c r="X29" s="2877"/>
      <c r="Y29" s="2877"/>
      <c r="Z29" s="2877"/>
      <c r="AA29" s="2877"/>
      <c r="AB29" s="2877"/>
      <c r="AC29" s="952"/>
      <c r="AD29" s="2877" t="str">
        <f>IF(TITLE_NAME_OR_PR_CHANGE="",IF(TITLE_NAME_OR_PR="","",TITLE_NAME_OR_PR),TITLE_NAME_OR_PR_CHANGE)</f>
        <v/>
      </c>
      <c r="AE29" s="2877"/>
      <c r="AF29" s="2877"/>
      <c r="AG29" s="2877"/>
      <c r="AH29" s="2877"/>
      <c r="AI29" s="2877"/>
      <c r="AJ29" s="2877"/>
      <c r="AK29" s="952"/>
      <c r="AL29" s="952"/>
      <c r="AM29" s="906"/>
      <c r="AN29" s="994"/>
      <c r="AO29" s="994"/>
      <c r="AP29" s="994"/>
      <c r="AQ29" s="994"/>
      <c r="AR29" s="994"/>
      <c r="AS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441</v>
      </c>
      <c r="T30" s="2876"/>
      <c r="U30" s="1998"/>
      <c r="V30" s="2890" t="str">
        <f>IF(TITLE_DATE_PR_CHANGE="",IF(TITLE_DATE_PR="","",TITLE_DATE_PR),TITLE_DATE_PR_CHANGE)</f>
        <v/>
      </c>
      <c r="W30" s="2890"/>
      <c r="X30" s="2890"/>
      <c r="Y30" s="2890"/>
      <c r="Z30" s="2890"/>
      <c r="AA30" s="2890"/>
      <c r="AB30" s="2890"/>
      <c r="AC30" s="952"/>
      <c r="AD30" s="2890" t="str">
        <f>IF(TITLE_DATE_PR_CHANGE="",IF(TITLE_DATE_PR="","",TITLE_DATE_PR),TITLE_DATE_PR_CHANGE)</f>
        <v/>
      </c>
      <c r="AE30" s="2890"/>
      <c r="AF30" s="2890"/>
      <c r="AG30" s="2890"/>
      <c r="AH30" s="2890"/>
      <c r="AI30" s="2890"/>
      <c r="AJ30" s="2890"/>
      <c r="AK30" s="952"/>
      <c r="AL30" s="952"/>
      <c r="AM30" s="906"/>
      <c r="AN30" s="994"/>
      <c r="AO30" s="994"/>
      <c r="AP30" s="994"/>
      <c r="AQ30" s="994"/>
      <c r="AR30" s="994"/>
      <c r="AS30" s="1044">
        <v>0</v>
      </c>
    </row>
    <row s="34794" customFormat="1" customHeight="1" ht="18.75" hidden="1">
      <c r="A31" s="1994"/>
      <c r="B31" s="1994"/>
      <c r="C31" s="1994"/>
      <c r="D31" s="1994"/>
      <c r="E31" s="1994"/>
      <c r="F31" s="1994"/>
      <c r="G31" s="1994"/>
      <c r="H31" s="1994"/>
      <c r="I31" s="1994"/>
      <c r="J31" s="1994"/>
      <c r="K31" s="1994"/>
      <c r="L31" s="1995"/>
      <c r="M31" s="1994"/>
      <c r="N31" s="1994"/>
      <c r="O31" s="1994"/>
      <c r="S31" s="2876" t="s">
        <v>442</v>
      </c>
      <c r="T31" s="2876"/>
      <c r="U31" s="1998"/>
      <c r="V31" s="2877" t="str">
        <f>IF(TITLE_NUMBER_PR_CHANGE="",IF(TITLE_NUMBER_PR="","",TITLE_NUMBER_PR),TITLE_NUMBER_PR_CHANGE)</f>
        <v/>
      </c>
      <c r="W31" s="2877"/>
      <c r="X31" s="2877"/>
      <c r="Y31" s="2877"/>
      <c r="Z31" s="2877"/>
      <c r="AA31" s="2877"/>
      <c r="AB31" s="2877"/>
      <c r="AC31" s="952"/>
      <c r="AD31" s="2877" t="str">
        <f>IF(TITLE_NUMBER_PR_CHANGE="",IF(TITLE_NUMBER_PR="","",TITLE_NUMBER_PR),TITLE_NUMBER_PR_CHANGE)</f>
        <v/>
      </c>
      <c r="AE31" s="2877"/>
      <c r="AF31" s="2877"/>
      <c r="AG31" s="2877"/>
      <c r="AH31" s="2877"/>
      <c r="AI31" s="2877"/>
      <c r="AJ31" s="2877"/>
      <c r="AK31" s="952"/>
      <c r="AL31" s="952"/>
      <c r="AM31" s="906"/>
      <c r="AN31" s="994"/>
      <c r="AO31" s="994"/>
      <c r="AP31" s="994"/>
      <c r="AQ31" s="994"/>
      <c r="AR31" s="994"/>
      <c r="AS31" s="1044">
        <v>0</v>
      </c>
    </row>
    <row s="34794" customFormat="1" customHeight="1" ht="18.75" hidden="1">
      <c r="A32" s="1994"/>
      <c r="B32" s="1994"/>
      <c r="C32" s="1994"/>
      <c r="D32" s="1994"/>
      <c r="E32" s="1994"/>
      <c r="F32" s="1994"/>
      <c r="G32" s="1994"/>
      <c r="H32" s="1994"/>
      <c r="I32" s="1994"/>
      <c r="J32" s="1994"/>
      <c r="K32" s="1994"/>
      <c r="L32" s="1995"/>
      <c r="M32" s="1994"/>
      <c r="N32" s="1994"/>
      <c r="O32" s="1994"/>
      <c r="S32" s="2876" t="s">
        <v>43</v>
      </c>
      <c r="T32" s="2876"/>
      <c r="U32" s="1998"/>
      <c r="V32" s="2877" t="str">
        <f>IF(TITLE_IST_PUB_CHANGE="",IF(TITLE_IST_PUB="","",TITLE_IST_PUB),TITLE_IST_PUB_CHANGE)</f>
        <v/>
      </c>
      <c r="W32" s="2877"/>
      <c r="X32" s="2877"/>
      <c r="Y32" s="2877"/>
      <c r="Z32" s="2877"/>
      <c r="AA32" s="2877"/>
      <c r="AB32" s="2877"/>
      <c r="AC32" s="952"/>
      <c r="AD32" s="2877" t="str">
        <f>IF(TITLE_IST_PUB_CHANGE="",IF(TITLE_IST_PUB="","",TITLE_IST_PUB),TITLE_IST_PUB_CHANGE)</f>
        <v/>
      </c>
      <c r="AE32" s="2877"/>
      <c r="AF32" s="2877"/>
      <c r="AG32" s="2877"/>
      <c r="AH32" s="2877"/>
      <c r="AI32" s="2877"/>
      <c r="AJ32" s="2877"/>
      <c r="AK32" s="952"/>
      <c r="AL32" s="952"/>
      <c r="AM32" s="906"/>
      <c r="AN32" s="994"/>
      <c r="AO32" s="994"/>
      <c r="AP32" s="994"/>
      <c r="AQ32" s="994"/>
      <c r="AR32" s="994"/>
      <c r="AS32" s="1044">
        <v>0</v>
      </c>
    </row>
    <row customHeight="1" ht="14.25" hidden="1">
      <c r="Q33" s="1002"/>
      <c r="R33" s="1002"/>
      <c r="S33" s="1901"/>
      <c r="T33" s="989"/>
      <c r="U33" s="989"/>
      <c r="V33" s="948"/>
      <c r="W33" s="948"/>
      <c r="X33" s="948"/>
      <c r="Y33" s="948"/>
      <c r="Z33" s="948"/>
      <c r="AA33" s="948"/>
      <c r="AB33" s="948"/>
      <c r="AC33" s="948"/>
      <c r="AD33" s="948"/>
      <c r="AE33" s="948"/>
      <c r="AF33" s="948"/>
      <c r="AG33" s="948"/>
      <c r="AH33" s="948"/>
      <c r="AI33" s="948"/>
      <c r="AJ33" s="948"/>
      <c r="AK33" s="948"/>
      <c r="AL33" s="1135"/>
      <c r="AS33" s="1781">
        <v>0</v>
      </c>
    </row>
    <row s="34794" customFormat="1" customHeight="1" ht="18.75" hidden="1">
      <c r="A34" s="1994"/>
      <c r="B34" s="1994"/>
      <c r="C34" s="1994"/>
      <c r="D34" s="1994"/>
      <c r="E34" s="1994"/>
      <c r="F34" s="1994"/>
      <c r="G34" s="1994"/>
      <c r="H34" s="1994"/>
      <c r="I34" s="1994"/>
      <c r="J34" s="1994"/>
      <c r="K34" s="1994"/>
      <c r="L34" s="1995"/>
      <c r="M34" s="1994"/>
      <c r="N34" s="1994"/>
      <c r="O34" s="1994"/>
      <c r="S34" s="2876" t="s">
        <v>443</v>
      </c>
      <c r="T34" s="2876"/>
      <c r="U34" s="1998"/>
      <c r="V34" s="2890" t="str">
        <f>IF(TITLE_DATE_PR_CHANGE="",IF(TITLE_DATE_PR="","",TITLE_DATE_PR),TITLE_DATE_PR_CHANGE)</f>
        <v/>
      </c>
      <c r="W34" s="2890"/>
      <c r="X34" s="2890"/>
      <c r="Y34" s="2890"/>
      <c r="Z34" s="2890"/>
      <c r="AA34" s="2890"/>
      <c r="AB34" s="2890"/>
      <c r="AC34" s="952"/>
      <c r="AD34" s="2890" t="str">
        <f>IF(TITLE_DATE_PR_CHANGE="",IF(TITLE_DATE_PR="","",TITLE_DATE_PR),TITLE_DATE_PR_CHANGE)</f>
        <v/>
      </c>
      <c r="AE34" s="2890"/>
      <c r="AF34" s="2890"/>
      <c r="AG34" s="2890"/>
      <c r="AH34" s="2890"/>
      <c r="AI34" s="2890"/>
      <c r="AJ34" s="2890"/>
      <c r="AK34" s="952"/>
      <c r="AL34" s="952"/>
      <c r="AM34" s="906"/>
      <c r="AN34" s="994"/>
      <c r="AO34" s="994"/>
      <c r="AP34" s="994"/>
      <c r="AQ34" s="994"/>
      <c r="AR34" s="994"/>
      <c r="AS34" s="1044">
        <v>0</v>
      </c>
    </row>
    <row s="34794" customFormat="1" customHeight="1" ht="18.75" hidden="1">
      <c r="A35" s="1994"/>
      <c r="B35" s="1994"/>
      <c r="C35" s="1994"/>
      <c r="D35" s="1994"/>
      <c r="E35" s="1994"/>
      <c r="F35" s="1994"/>
      <c r="G35" s="1994"/>
      <c r="H35" s="1994"/>
      <c r="I35" s="1994"/>
      <c r="J35" s="1994"/>
      <c r="K35" s="1994"/>
      <c r="L35" s="1995"/>
      <c r="M35" s="1994"/>
      <c r="N35" s="1994"/>
      <c r="O35" s="1994"/>
      <c r="S35" s="2876" t="s">
        <v>444</v>
      </c>
      <c r="T35" s="2876"/>
      <c r="U35" s="1998"/>
      <c r="V35" s="2877" t="str">
        <f>IF(TITLE_NUMBER_PR_CHANGE="",IF(TITLE_NUMBER_PR="","",TITLE_NUMBER_PR),TITLE_NUMBER_PR_CHANGE)</f>
        <v/>
      </c>
      <c r="W35" s="2877"/>
      <c r="X35" s="2877"/>
      <c r="Y35" s="2877"/>
      <c r="Z35" s="2877"/>
      <c r="AA35" s="2877"/>
      <c r="AB35" s="2877"/>
      <c r="AC35" s="952"/>
      <c r="AD35" s="2877" t="str">
        <f>IF(TITLE_NUMBER_PR_CHANGE="",IF(TITLE_NUMBER_PR="","",TITLE_NUMBER_PR),TITLE_NUMBER_PR_CHANGE)</f>
        <v/>
      </c>
      <c r="AE35" s="2877"/>
      <c r="AF35" s="2877"/>
      <c r="AG35" s="2877"/>
      <c r="AH35" s="2877"/>
      <c r="AI35" s="2877"/>
      <c r="AJ35" s="2877"/>
      <c r="AK35" s="952"/>
      <c r="AL35" s="952"/>
      <c r="AM35" s="906"/>
      <c r="AN35" s="994"/>
      <c r="AO35" s="994"/>
      <c r="AP35" s="994"/>
      <c r="AQ35" s="994"/>
      <c r="AR35" s="994"/>
      <c r="AS35" s="1044">
        <v>0</v>
      </c>
    </row>
    <row s="34794" customFormat="1" customHeight="1" ht="0">
      <c r="A36" s="1994"/>
      <c r="B36" s="1994"/>
      <c r="C36" s="1994"/>
      <c r="D36" s="1994"/>
      <c r="E36" s="1994"/>
      <c r="F36" s="1994"/>
      <c r="G36" s="1994"/>
      <c r="H36" s="1994"/>
      <c r="I36" s="1994"/>
      <c r="J36" s="1994"/>
      <c r="K36" s="1994"/>
      <c r="L36" s="1995"/>
      <c r="M36" s="1994"/>
      <c r="N36" s="1994"/>
      <c r="O36" s="1994"/>
      <c r="S36" s="949"/>
      <c r="T36" s="949"/>
      <c r="U36" s="1966"/>
      <c r="V36" s="952"/>
      <c r="W36" s="952"/>
      <c r="X36" s="952"/>
      <c r="Y36" s="952"/>
      <c r="Z36" s="952"/>
      <c r="AA36" s="952"/>
      <c r="AB36" s="952"/>
      <c r="AC36" s="904" t="s">
        <v>445</v>
      </c>
      <c r="AD36" s="952"/>
      <c r="AE36" s="952"/>
      <c r="AF36" s="952"/>
      <c r="AG36" s="952"/>
      <c r="AH36" s="952"/>
      <c r="AI36" s="952"/>
      <c r="AJ36" s="952"/>
      <c r="AK36" s="904" t="s">
        <v>445</v>
      </c>
      <c r="AN36" s="994"/>
      <c r="AO36" s="994"/>
      <c r="AP36" s="994"/>
      <c r="AQ36" s="994"/>
      <c r="AR36" s="994"/>
      <c r="AS36" s="1044">
        <v>0</v>
      </c>
    </row>
    <row customHeight="1" ht="14.699999999999998">
      <c r="Q37" s="1002"/>
      <c r="R37" s="1002"/>
      <c r="S37" s="1901"/>
      <c r="T37" s="989"/>
      <c r="U37" s="1870"/>
      <c r="V37" s="2878"/>
      <c r="W37" s="2878"/>
      <c r="X37" s="2878"/>
      <c r="Y37" s="2878"/>
      <c r="Z37" s="2878"/>
      <c r="AA37" s="2878"/>
      <c r="AB37" s="2878"/>
      <c r="AC37" s="2878"/>
      <c r="AD37" s="2878"/>
      <c r="AE37" s="2878"/>
      <c r="AF37" s="2878"/>
      <c r="AG37" s="2878"/>
      <c r="AH37" s="2878"/>
      <c r="AI37" s="2878"/>
      <c r="AJ37" s="2878"/>
      <c r="AK37" s="2878"/>
      <c r="AS37" s="1781">
        <v>14</v>
      </c>
    </row>
    <row customHeight="1" ht="14.699999999999998">
      <c r="Q38" s="1002"/>
      <c r="R38" s="1002"/>
      <c r="S38" s="2753" t="s">
        <v>318</v>
      </c>
      <c r="T38" s="2753"/>
      <c r="U38" s="2753"/>
      <c r="V38" s="2753"/>
      <c r="W38" s="2753"/>
      <c r="X38" s="2753"/>
      <c r="Y38" s="2753"/>
      <c r="Z38" s="2753"/>
      <c r="AA38" s="2753"/>
      <c r="AB38" s="2753"/>
      <c r="AC38" s="2753"/>
      <c r="AD38" s="2753"/>
      <c r="AE38" s="2753"/>
      <c r="AF38" s="2753"/>
      <c r="AG38" s="2753"/>
      <c r="AH38" s="2753"/>
      <c r="AI38" s="2753"/>
      <c r="AJ38" s="2753"/>
      <c r="AK38" s="2753"/>
      <c r="AL38" s="2753"/>
      <c r="AM38" s="2753" t="s">
        <v>319</v>
      </c>
      <c r="AS38" s="1781">
        <v>14</v>
      </c>
    </row>
    <row customHeight="1" ht="14.699999999999998">
      <c r="Q39" s="1002"/>
      <c r="R39" s="1002"/>
      <c r="S39" s="2899" t="s">
        <v>88</v>
      </c>
      <c r="T39" s="2835" t="s">
        <v>446</v>
      </c>
      <c r="U39" s="927"/>
      <c r="V39" s="2900" t="s">
        <v>447</v>
      </c>
      <c r="W39" s="2901"/>
      <c r="X39" s="2901"/>
      <c r="Y39" s="2901"/>
      <c r="Z39" s="2901"/>
      <c r="AA39" s="2901"/>
      <c r="AB39" s="2902"/>
      <c r="AC39" s="2903" t="s">
        <v>448</v>
      </c>
      <c r="AD39" s="2900" t="s">
        <v>447</v>
      </c>
      <c r="AE39" s="2901"/>
      <c r="AF39" s="2901"/>
      <c r="AG39" s="2901"/>
      <c r="AH39" s="2901"/>
      <c r="AI39" s="2901"/>
      <c r="AJ39" s="2902"/>
      <c r="AK39" s="2903" t="s">
        <v>449</v>
      </c>
      <c r="AL39" s="2906" t="s">
        <v>450</v>
      </c>
      <c r="AM39" s="2753"/>
      <c r="AS39" s="1781">
        <v>14</v>
      </c>
    </row>
    <row customHeight="1" ht="35.699999999999996">
      <c r="Q40" s="1002"/>
      <c r="R40" s="1002"/>
      <c r="S40" s="2899"/>
      <c r="T40" s="2835"/>
      <c r="U40" s="1657"/>
      <c r="V40" s="2886" t="s">
        <v>451</v>
      </c>
      <c r="W40" s="2909"/>
      <c r="X40" s="2888" t="s">
        <v>453</v>
      </c>
      <c r="Y40" s="2889"/>
      <c r="Z40" s="2888" t="s">
        <v>454</v>
      </c>
      <c r="AA40" s="2895"/>
      <c r="AB40" s="2889"/>
      <c r="AC40" s="2904"/>
      <c r="AD40" s="2886" t="s">
        <v>468</v>
      </c>
      <c r="AE40" s="2909"/>
      <c r="AF40" s="2888" t="s">
        <v>453</v>
      </c>
      <c r="AG40" s="2889"/>
      <c r="AH40" s="2888" t="s">
        <v>454</v>
      </c>
      <c r="AI40" s="2895"/>
      <c r="AJ40" s="2889"/>
      <c r="AK40" s="2904"/>
      <c r="AL40" s="2907"/>
      <c r="AM40" s="2753"/>
      <c r="AS40" s="1781">
        <v>34</v>
      </c>
    </row>
    <row customHeight="1" ht="35.699999999999996">
      <c r="A41" s="1996"/>
      <c r="B41" s="1996" t="s">
        <v>155</v>
      </c>
      <c r="C41" s="1996" t="s">
        <v>156</v>
      </c>
      <c r="D41" s="1996" t="s">
        <v>157</v>
      </c>
      <c r="E41" s="1990" t="s">
        <v>455</v>
      </c>
      <c r="F41" s="1990" t="s">
        <v>456</v>
      </c>
      <c r="G41" s="1990" t="s">
        <v>457</v>
      </c>
      <c r="H41" s="1990" t="s">
        <v>458</v>
      </c>
      <c r="I41" s="1990" t="s">
        <v>459</v>
      </c>
      <c r="J41" s="1990" t="s">
        <v>460</v>
      </c>
      <c r="K41" s="1990" t="s">
        <v>461</v>
      </c>
      <c r="L41" s="1990" t="s">
        <v>436</v>
      </c>
      <c r="Q41" s="1002"/>
      <c r="R41" s="1002"/>
      <c r="S41" s="2899"/>
      <c r="T41" s="2835"/>
      <c r="U41" s="928"/>
      <c r="V41" s="2887"/>
      <c r="W41" s="2910"/>
      <c r="X41" s="1848" t="s">
        <v>462</v>
      </c>
      <c r="Y41" s="1848" t="s">
        <v>463</v>
      </c>
      <c r="Z41" s="1964" t="s">
        <v>464</v>
      </c>
      <c r="AA41" s="2896" t="s">
        <v>465</v>
      </c>
      <c r="AB41" s="2897"/>
      <c r="AC41" s="2905"/>
      <c r="AD41" s="2887"/>
      <c r="AE41" s="2910"/>
      <c r="AF41" s="1848" t="s">
        <v>462</v>
      </c>
      <c r="AG41" s="1848" t="s">
        <v>463</v>
      </c>
      <c r="AH41" s="1964" t="s">
        <v>464</v>
      </c>
      <c r="AI41" s="2896" t="s">
        <v>465</v>
      </c>
      <c r="AJ41" s="2897"/>
      <c r="AK41" s="2905"/>
      <c r="AL41" s="2908"/>
      <c r="AM41" s="2753"/>
      <c r="AS41" s="1781">
        <v>34</v>
      </c>
    </row>
    <row s="35197" customFormat="1" customHeight="1" ht="11.25" hidden="1">
      <c r="A42" s="1996"/>
      <c r="B42" s="1996"/>
      <c r="C42" s="1996"/>
      <c r="D42" s="1996"/>
      <c r="E42" s="1996"/>
      <c r="F42" s="1996"/>
      <c r="G42" s="1996"/>
      <c r="H42" s="1996"/>
      <c r="I42" s="1996"/>
      <c r="J42" s="1996"/>
      <c r="K42" s="1996"/>
      <c r="L42" s="1990"/>
      <c r="M42" s="1988"/>
      <c r="N42" s="1988"/>
      <c r="O42" s="1988"/>
      <c r="P42" s="1872"/>
      <c r="Q42" s="1873"/>
      <c r="R42" s="1880">
        <v>1</v>
      </c>
      <c r="S42" s="1903" t="s">
        <v>118</v>
      </c>
      <c r="T42" s="1881" t="s">
        <v>102</v>
      </c>
      <c r="U42" s="1871" t="str">
        <f>OFFSET(U42,0,-1)</f>
        <v>2</v>
      </c>
      <c r="V42" s="1961">
        <f>OFFSET(V42,0,-1)+1</f>
        <v>3</v>
      </c>
      <c r="W42" s="1961"/>
      <c r="X42" s="1961">
        <f>OFFSET(X42,0,-1)+1</f>
        <v>1</v>
      </c>
      <c r="Y42" s="1961">
        <f>OFFSET(Y42,0,-1)+1</f>
        <v>2</v>
      </c>
      <c r="Z42" s="1961">
        <f>OFFSET(Z42,0,-1)+1</f>
        <v>3</v>
      </c>
      <c r="AA42" s="2898">
        <f>OFFSET(AA42,0,-1)+1</f>
        <v>4</v>
      </c>
      <c r="AB42" s="2898"/>
      <c r="AC42" s="1961">
        <f>OFFSET(AC42,0,-2)+1</f>
        <v>5</v>
      </c>
      <c r="AD42" s="1961">
        <f>OFFSET(AD42,0,-1)+1</f>
        <v>6</v>
      </c>
      <c r="AE42" s="1961"/>
      <c r="AF42" s="1961">
        <f>OFFSET(AF42,0,-1)+1</f>
        <v>1</v>
      </c>
      <c r="AG42" s="1961">
        <f>OFFSET(AG42,0,-1)+1</f>
        <v>2</v>
      </c>
      <c r="AH42" s="1961">
        <f>OFFSET(AH42,0,-1)+1</f>
        <v>3</v>
      </c>
      <c r="AI42" s="2898">
        <f>OFFSET(AI42,0,-1)+1</f>
        <v>4</v>
      </c>
      <c r="AJ42" s="2898"/>
      <c r="AK42" s="1961">
        <f>OFFSET(AK42,0,-2)+1</f>
        <v>5</v>
      </c>
      <c r="AL42" s="1871">
        <f>OFFSET(AL42,0,-1)</f>
        <v>5</v>
      </c>
      <c r="AM42" s="1961">
        <f>OFFSET(AM42,0,-1)+1</f>
        <v>6</v>
      </c>
      <c r="AN42" s="1137"/>
      <c r="AO42" s="1137"/>
      <c r="AP42" s="1137"/>
      <c r="AQ42" s="1137"/>
      <c r="AR42" s="1137"/>
      <c r="AS42" s="1122">
        <v>0</v>
      </c>
    </row>
    <row customHeight="1" ht="22.049999999999997">
      <c r="A43" s="1989" t="s">
        <v>200</v>
      </c>
      <c r="B43" s="1989"/>
      <c r="C43" s="1989"/>
      <c r="D43" s="1989"/>
      <c r="E43" s="2884">
        <v>1</v>
      </c>
      <c r="F43" s="1989"/>
      <c r="G43" s="1989"/>
      <c r="H43" s="1989"/>
      <c r="I43" s="1989"/>
      <c r="J43" s="1989"/>
      <c r="K43" s="1989"/>
      <c r="L43" s="1990"/>
      <c r="M43" s="1991"/>
      <c r="N43" s="1991"/>
      <c r="O43" s="1991"/>
      <c r="P43" s="987"/>
      <c r="Q43" s="986"/>
      <c r="R43" s="981"/>
      <c r="S43" s="1962">
        <f>INDEX(PT_DIFFERENTIATION_NUM_NTAR,MATCH(A43,PT_DIFFERENTIATION_NTAR_ID,0))</f>
        <v>0</v>
      </c>
      <c r="T43" s="924" t="s">
        <v>143</v>
      </c>
      <c r="U43" s="926"/>
      <c r="V43" s="2868"/>
      <c r="W43" s="2869"/>
      <c r="X43" s="2869"/>
      <c r="Y43" s="2869"/>
      <c r="Z43" s="2869"/>
      <c r="AA43" s="2869"/>
      <c r="AB43" s="2869"/>
      <c r="AC43" s="2870"/>
      <c r="AD43" s="2868" t="str">
        <f>INDEX(PT_DIFFERENTIATION_NTAR,MATCH(A43,PT_DIFFERENTIATION_NTAR_ID,0))</f>
        <v/>
      </c>
      <c r="AE43" s="2869"/>
      <c r="AF43" s="2869"/>
      <c r="AG43" s="2869"/>
      <c r="AH43" s="2869"/>
      <c r="AI43" s="2869"/>
      <c r="AJ43" s="2869"/>
      <c r="AK43" s="2869"/>
      <c r="AL43" s="2870"/>
      <c r="AM43" s="18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26"/>
      <c r="AP43" s="1126" t="str">
        <f>IF(T43="","",T43)</f>
        <v>Наименование тарифа</v>
      </c>
      <c r="AQ43" s="1126"/>
      <c r="AR43" s="1126"/>
      <c r="AS43" s="1781">
        <v>21</v>
      </c>
    </row>
    <row customHeight="1" ht="22.049999999999997">
      <c r="A44" s="1989" t="s">
        <v>200</v>
      </c>
      <c r="B44" s="1989" t="s">
        <v>201</v>
      </c>
      <c r="C44" s="1989"/>
      <c r="D44" s="1989"/>
      <c r="E44" s="2885"/>
      <c r="F44" s="2884">
        <v>1</v>
      </c>
      <c r="G44" s="1989"/>
      <c r="H44" s="1989"/>
      <c r="I44" s="1989"/>
      <c r="J44" s="1989"/>
      <c r="K44" s="1989"/>
      <c r="L44" s="1990"/>
      <c r="M44" s="1991"/>
      <c r="N44" s="1991"/>
      <c r="O44" s="1991"/>
      <c r="P44" s="1958"/>
      <c r="Q44" s="978"/>
      <c r="R44" s="979"/>
      <c r="S44" s="1962" t="str">
        <f>INDEX(PT_DIFFERENTIATION_NUM_TER,MATCH(B44,PT_DIFFERENTIATION_TER_ID,0))</f>
        <v>.</v>
      </c>
      <c r="T44" s="934" t="s">
        <v>415</v>
      </c>
      <c r="U44" s="926"/>
      <c r="V44" s="2868"/>
      <c r="W44" s="2869"/>
      <c r="X44" s="2869"/>
      <c r="Y44" s="2869"/>
      <c r="Z44" s="2869"/>
      <c r="AA44" s="2869"/>
      <c r="AB44" s="2869"/>
      <c r="AC44" s="2870"/>
      <c r="AD44" s="2868" t="str">
        <f>INDEX(PT_DIFFERENTIATION_TER,MATCH(B44,PT_DIFFERENTIATION_TER_ID,0))</f>
        <v/>
      </c>
      <c r="AE44" s="2869"/>
      <c r="AF44" s="2869"/>
      <c r="AG44" s="2869"/>
      <c r="AH44" s="2869"/>
      <c r="AI44" s="2869"/>
      <c r="AJ44" s="2869"/>
      <c r="AK44" s="2869"/>
      <c r="AL44" s="2870"/>
      <c r="AM44" s="1884" t="s">
        <v>416</v>
      </c>
      <c r="AO44" s="1126"/>
      <c r="AP44" s="1126" t="str">
        <f>IF(T44="","",T44)</f>
        <v>Территория действия тарифа</v>
      </c>
      <c r="AQ44" s="1126"/>
      <c r="AR44" s="1126"/>
      <c r="AS44" s="1781">
        <v>21</v>
      </c>
    </row>
    <row customHeight="1" ht="24">
      <c r="A45" s="1989" t="s">
        <v>200</v>
      </c>
      <c r="B45" s="1989" t="s">
        <v>201</v>
      </c>
      <c r="C45" s="1989" t="s">
        <v>202</v>
      </c>
      <c r="D45" s="1989"/>
      <c r="E45" s="2885"/>
      <c r="F45" s="2885"/>
      <c r="G45" s="2884">
        <v>1</v>
      </c>
      <c r="H45" s="1989"/>
      <c r="I45" s="1989"/>
      <c r="J45" s="1989"/>
      <c r="K45" s="1989"/>
      <c r="L45" s="1990"/>
      <c r="M45" s="1991"/>
      <c r="N45" s="1991"/>
      <c r="O45" s="1991"/>
      <c r="P45" s="980"/>
      <c r="Q45" s="978"/>
      <c r="R45" s="979"/>
      <c r="S45" s="1962" t="str">
        <f>INDEX(PT_DIFFERENTIATION_NUM_CS,MATCH(C45,PT_DIFFERENTIATION_CS_ID,0))</f>
        <v>..</v>
      </c>
      <c r="T45" s="935" t="s">
        <v>417</v>
      </c>
      <c r="U45" s="926"/>
      <c r="V45" s="2868"/>
      <c r="W45" s="2869"/>
      <c r="X45" s="2869"/>
      <c r="Y45" s="2869"/>
      <c r="Z45" s="2869"/>
      <c r="AA45" s="2869"/>
      <c r="AB45" s="2869"/>
      <c r="AC45" s="2870"/>
      <c r="AD45" s="2868" t="str">
        <f>INDEX(PT_DIFFERENTIATION_CS,MATCH(C45,PT_DIFFERENTIATION_CS_ID,0))</f>
        <v/>
      </c>
      <c r="AE45" s="2869"/>
      <c r="AF45" s="2869"/>
      <c r="AG45" s="2869"/>
      <c r="AH45" s="2869"/>
      <c r="AI45" s="2869"/>
      <c r="AJ45" s="2869"/>
      <c r="AK45" s="2869"/>
      <c r="AL45" s="2870"/>
      <c r="AM45" s="1884" t="s">
        <v>418</v>
      </c>
      <c r="AO45" s="1126"/>
      <c r="AP45" s="1126" t="str">
        <f>IF(T45="","",T45)</f>
        <v>Наименование системы теплоснабжения </v>
      </c>
      <c r="AQ45" s="1126"/>
      <c r="AR45" s="1126"/>
      <c r="AS45" s="1781">
        <v>23</v>
      </c>
    </row>
    <row customHeight="1" ht="22.049999999999997">
      <c r="A46" s="1989" t="s">
        <v>200</v>
      </c>
      <c r="B46" s="1989" t="s">
        <v>201</v>
      </c>
      <c r="C46" s="1989" t="s">
        <v>202</v>
      </c>
      <c r="D46" s="1989" t="s">
        <v>203</v>
      </c>
      <c r="E46" s="2885"/>
      <c r="F46" s="2885"/>
      <c r="G46" s="2885"/>
      <c r="H46" s="2884">
        <v>1</v>
      </c>
      <c r="I46" s="1989"/>
      <c r="J46" s="1989"/>
      <c r="K46" s="1989"/>
      <c r="L46" s="1990"/>
      <c r="M46" s="1991"/>
      <c r="N46" s="1991"/>
      <c r="O46" s="1991"/>
      <c r="P46" s="980"/>
      <c r="Q46" s="978"/>
      <c r="R46" s="979"/>
      <c r="S46" s="1962" t="str">
        <f>INDEX(PT_DIFFERENTIATION_NUM_IST_TE,MATCH(D46,PT_DIFFERENTIATION_IST_TE_ID,0))</f>
        <v>...</v>
      </c>
      <c r="T46" s="936" t="s">
        <v>419</v>
      </c>
      <c r="U46" s="926"/>
      <c r="V46" s="2868"/>
      <c r="W46" s="2869"/>
      <c r="X46" s="2869"/>
      <c r="Y46" s="2869"/>
      <c r="Z46" s="2869"/>
      <c r="AA46" s="2869"/>
      <c r="AB46" s="2869"/>
      <c r="AC46" s="2870"/>
      <c r="AD46" s="2868" t="str">
        <f>INDEX(PT_DIFFERENTIATION_IST_TE,MATCH(D46,PT_DIFFERENTIATION_IST_TE_ID,0))</f>
        <v/>
      </c>
      <c r="AE46" s="2869"/>
      <c r="AF46" s="2869"/>
      <c r="AG46" s="2869"/>
      <c r="AH46" s="2869"/>
      <c r="AI46" s="2869"/>
      <c r="AJ46" s="2869"/>
      <c r="AK46" s="2869"/>
      <c r="AL46" s="2870"/>
      <c r="AM46" s="1884" t="s">
        <v>420</v>
      </c>
      <c r="AO46" s="1126"/>
      <c r="AP46" s="1126" t="str">
        <f>IF(T46="","",T46)</f>
        <v>Источник тепловой энергии  </v>
      </c>
      <c r="AQ46" s="1126"/>
      <c r="AR46" s="1126"/>
      <c r="AS46" s="1781">
        <v>21</v>
      </c>
    </row>
    <row s="34658" customFormat="1" customHeight="1" ht="0">
      <c r="A47" s="1969" t="s">
        <v>200</v>
      </c>
      <c r="B47" s="1969" t="s">
        <v>201</v>
      </c>
      <c r="C47" s="1969" t="s">
        <v>202</v>
      </c>
      <c r="D47" s="1969" t="s">
        <v>203</v>
      </c>
      <c r="E47" s="2885"/>
      <c r="F47" s="2885"/>
      <c r="G47" s="2885"/>
      <c r="H47" s="2885"/>
      <c r="I47" s="2882" t="str">
        <f>S46&amp;".1"</f>
        <v>....1</v>
      </c>
      <c r="J47" s="1969"/>
      <c r="K47" s="1969"/>
      <c r="L47" s="1972" t="s">
        <v>421</v>
      </c>
      <c r="M47" s="1136"/>
      <c r="N47" s="1136"/>
      <c r="O47" s="1136"/>
      <c r="P47" s="2883">
        <v>1</v>
      </c>
      <c r="Q47" s="1957"/>
      <c r="R47" s="982"/>
      <c r="S47" s="1668"/>
      <c r="T47" s="2009"/>
      <c r="U47" s="2010"/>
      <c r="V47" s="2922"/>
      <c r="W47" s="2923"/>
      <c r="X47" s="2923"/>
      <c r="Y47" s="2923"/>
      <c r="Z47" s="2923"/>
      <c r="AA47" s="2923"/>
      <c r="AB47" s="2923"/>
      <c r="AC47" s="2924"/>
      <c r="AD47" s="2922"/>
      <c r="AE47" s="2923"/>
      <c r="AF47" s="2923"/>
      <c r="AG47" s="2923"/>
      <c r="AH47" s="2923"/>
      <c r="AI47" s="2923"/>
      <c r="AJ47" s="2923"/>
      <c r="AK47" s="2923"/>
      <c r="AL47" s="2924"/>
      <c r="AM47" s="2011"/>
      <c r="AO47" s="1126"/>
      <c r="AP47" s="1126" t="str">
        <f>IF(T47="","",T47)</f>
        <v/>
      </c>
      <c r="AQ47" s="1126"/>
      <c r="AR47" s="1126"/>
      <c r="AS47" s="1137">
        <v>0</v>
      </c>
    </row>
    <row customHeight="1" ht="22.049999999999997">
      <c r="A48" s="1989" t="s">
        <v>200</v>
      </c>
      <c r="B48" s="1989" t="s">
        <v>201</v>
      </c>
      <c r="C48" s="1989" t="s">
        <v>202</v>
      </c>
      <c r="D48" s="1989" t="s">
        <v>203</v>
      </c>
      <c r="E48" s="2885"/>
      <c r="F48" s="2885"/>
      <c r="G48" s="2885"/>
      <c r="H48" s="2885"/>
      <c r="I48" s="2912"/>
      <c r="J48" s="2882" t="str">
        <f>S46&amp;".1"</f>
        <v>....1</v>
      </c>
      <c r="K48" s="1989"/>
      <c r="L48" s="1990" t="s">
        <v>424</v>
      </c>
      <c r="P48" s="2883"/>
      <c r="Q48" s="2883">
        <v>1</v>
      </c>
      <c r="R48" s="983"/>
      <c r="S48" s="1962" t="str">
        <f>$J48</f>
        <v>....1</v>
      </c>
      <c r="T48" s="912" t="s">
        <v>425</v>
      </c>
      <c r="U48" s="926"/>
      <c r="V48" s="2871"/>
      <c r="W48" s="2872"/>
      <c r="X48" s="2872"/>
      <c r="Y48" s="2872"/>
      <c r="Z48" s="2872"/>
      <c r="AA48" s="2872"/>
      <c r="AB48" s="2872"/>
      <c r="AC48" s="2873"/>
      <c r="AD48" s="2871"/>
      <c r="AE48" s="2872"/>
      <c r="AF48" s="2872"/>
      <c r="AG48" s="2872"/>
      <c r="AH48" s="2872"/>
      <c r="AI48" s="2872"/>
      <c r="AJ48" s="2872"/>
      <c r="AK48" s="2872"/>
      <c r="AL48" s="2873"/>
      <c r="AM48" s="1884" t="s">
        <v>426</v>
      </c>
      <c r="AO48" s="1126"/>
      <c r="AP48" s="1126" t="str">
        <f>IF(T48="","",T48)</f>
        <v>Группа потребителей</v>
      </c>
      <c r="AQ48" s="1126"/>
      <c r="AR48" s="1126"/>
      <c r="AS48" s="1781">
        <v>21</v>
      </c>
    </row>
    <row customHeight="1" ht="22.049999999999997">
      <c r="A49" s="1989" t="s">
        <v>200</v>
      </c>
      <c r="B49" s="1989" t="s">
        <v>201</v>
      </c>
      <c r="C49" s="1989" t="s">
        <v>202</v>
      </c>
      <c r="D49" s="1989" t="s">
        <v>203</v>
      </c>
      <c r="E49" s="2885"/>
      <c r="F49" s="2885"/>
      <c r="G49" s="2885"/>
      <c r="H49" s="2885"/>
      <c r="I49" s="2912"/>
      <c r="J49" s="2912"/>
      <c r="K49" s="2882" t="str">
        <f>J48&amp;".1"</f>
        <v>....1.1</v>
      </c>
      <c r="L49" s="1990" t="s">
        <v>427</v>
      </c>
      <c r="P49" s="2883"/>
      <c r="Q49" s="2883"/>
      <c r="R49" s="983">
        <v>1</v>
      </c>
      <c r="S49" s="1962" t="str">
        <f>$K49</f>
        <v>....1.1</v>
      </c>
      <c r="T49" s="1973"/>
      <c r="U49" s="926"/>
      <c r="V49" s="1377"/>
      <c r="W49" s="951"/>
      <c r="X49" s="1377"/>
      <c r="Y49" s="1883"/>
      <c r="Z49" s="2891"/>
      <c r="AA49" s="2733" t="s">
        <v>66</v>
      </c>
      <c r="AB49" s="2891"/>
      <c r="AC49" s="2733" t="s">
        <v>66</v>
      </c>
      <c r="AD49" s="1377"/>
      <c r="AE49" s="951"/>
      <c r="AF49" s="1377"/>
      <c r="AG49" s="1883"/>
      <c r="AH49" s="2891"/>
      <c r="AI49" s="2733" t="s">
        <v>66</v>
      </c>
      <c r="AJ49" s="2913"/>
      <c r="AK49" s="2733" t="s">
        <v>66</v>
      </c>
      <c r="AL49" s="1974"/>
      <c r="AM49" s="2879" t="s">
        <v>469</v>
      </c>
      <c r="AN49" s="1137">
        <f>STRCHECKDATE(V50:AL50)</f>
      </c>
      <c r="AO49" s="1126"/>
      <c r="AP49" s="1126" t="str">
        <f>IF(T49="","",T49)</f>
        <v/>
      </c>
      <c r="AQ49" s="1126"/>
      <c r="AR49" s="1126"/>
      <c r="AS49" s="1781">
        <v>21</v>
      </c>
    </row>
    <row customHeight="1" ht="1.05">
      <c r="A50" s="1989" t="s">
        <v>200</v>
      </c>
      <c r="B50" s="1989" t="s">
        <v>201</v>
      </c>
      <c r="C50" s="1989" t="s">
        <v>202</v>
      </c>
      <c r="D50" s="1989" t="s">
        <v>203</v>
      </c>
      <c r="E50" s="2885"/>
      <c r="F50" s="2885"/>
      <c r="G50" s="2885"/>
      <c r="H50" s="2885"/>
      <c r="I50" s="2912"/>
      <c r="J50" s="2912"/>
      <c r="K50" s="2882"/>
      <c r="L50" s="1990"/>
      <c r="P50" s="2883"/>
      <c r="Q50" s="2883"/>
      <c r="R50" s="983"/>
      <c r="S50" s="1968"/>
      <c r="T50" s="926"/>
      <c r="U50" s="926"/>
      <c r="V50" s="951"/>
      <c r="W50" s="951"/>
      <c r="X50" s="951"/>
      <c r="Y50" s="954" t="str">
        <f>Z49&amp;"-"&amp;AB49</f>
        <v>-</v>
      </c>
      <c r="Z50" s="2892"/>
      <c r="AA50" s="2733"/>
      <c r="AB50" s="2892"/>
      <c r="AC50" s="2733"/>
      <c r="AD50" s="951"/>
      <c r="AE50" s="951"/>
      <c r="AF50" s="951"/>
      <c r="AG50" s="954" t="str">
        <f>AH49&amp;"-"&amp;AJ49</f>
        <v>-</v>
      </c>
      <c r="AH50" s="2892"/>
      <c r="AI50" s="2733"/>
      <c r="AJ50" s="2914"/>
      <c r="AK50" s="2733"/>
      <c r="AL50" s="1975"/>
      <c r="AM50" s="2880"/>
      <c r="AO50" s="1126"/>
      <c r="AP50" s="1126" t="str">
        <f>IF(T50="","",T50)</f>
        <v/>
      </c>
      <c r="AQ50" s="1126"/>
      <c r="AR50" s="1126"/>
      <c r="AS50" s="1781">
        <v>1</v>
      </c>
    </row>
    <row customHeight="1" ht="11.549999999999999">
      <c r="A51" s="1989" t="s">
        <v>200</v>
      </c>
      <c r="B51" s="1989" t="s">
        <v>201</v>
      </c>
      <c r="C51" s="1989" t="s">
        <v>202</v>
      </c>
      <c r="D51" s="1989" t="s">
        <v>203</v>
      </c>
      <c r="E51" s="2885"/>
      <c r="F51" s="2885"/>
      <c r="G51" s="2885"/>
      <c r="H51" s="2885"/>
      <c r="I51" s="2912"/>
      <c r="J51" s="2882"/>
      <c r="K51" s="1989"/>
      <c r="L51" s="1990"/>
      <c r="P51" s="2883"/>
      <c r="Q51" s="2883"/>
      <c r="R51" s="982"/>
      <c r="S51" s="1904"/>
      <c r="T51" s="913" t="s">
        <v>429</v>
      </c>
      <c r="U51" s="993"/>
      <c r="V51" s="993"/>
      <c r="W51" s="993"/>
      <c r="X51" s="993"/>
      <c r="Y51" s="993"/>
      <c r="Z51" s="993"/>
      <c r="AA51" s="993"/>
      <c r="AB51" s="993"/>
      <c r="AC51" s="993"/>
      <c r="AD51" s="993"/>
      <c r="AE51" s="993"/>
      <c r="AF51" s="993"/>
      <c r="AG51" s="993"/>
      <c r="AH51" s="993"/>
      <c r="AI51" s="993"/>
      <c r="AJ51" s="993"/>
      <c r="AK51" s="993"/>
      <c r="AL51" s="950"/>
      <c r="AM51" s="2881"/>
      <c r="AO51" s="1126"/>
      <c r="AP51" s="1126" t="str">
        <f>IF(T51="","",T51)</f>
        <v>Добавить вид теплоносителя (параметры теплоносителя)</v>
      </c>
      <c r="AQ51" s="1126"/>
      <c r="AR51" s="1126"/>
      <c r="AS51" s="1781">
        <v>11</v>
      </c>
    </row>
    <row customHeight="1" ht="11.549999999999999">
      <c r="A52" s="1989" t="s">
        <v>200</v>
      </c>
      <c r="B52" s="1989" t="s">
        <v>201</v>
      </c>
      <c r="C52" s="1989" t="s">
        <v>202</v>
      </c>
      <c r="D52" s="1989" t="s">
        <v>203</v>
      </c>
      <c r="E52" s="2885"/>
      <c r="F52" s="2885"/>
      <c r="G52" s="2885"/>
      <c r="H52" s="2885"/>
      <c r="I52" s="2882"/>
      <c r="J52" s="1989"/>
      <c r="K52" s="1989"/>
      <c r="L52" s="1990"/>
      <c r="P52" s="2883"/>
      <c r="Q52" s="1957"/>
      <c r="R52" s="982"/>
      <c r="S52" s="1904"/>
      <c r="T52" s="991" t="s">
        <v>430</v>
      </c>
      <c r="U52" s="993"/>
      <c r="V52" s="993"/>
      <c r="W52" s="993"/>
      <c r="X52" s="993"/>
      <c r="Y52" s="993"/>
      <c r="Z52" s="993"/>
      <c r="AA52" s="993"/>
      <c r="AB52" s="993"/>
      <c r="AC52" s="992"/>
      <c r="AD52" s="993"/>
      <c r="AE52" s="993"/>
      <c r="AF52" s="993"/>
      <c r="AG52" s="993"/>
      <c r="AH52" s="993"/>
      <c r="AI52" s="993"/>
      <c r="AJ52" s="993"/>
      <c r="AK52" s="992"/>
      <c r="AL52" s="993"/>
      <c r="AM52" s="929"/>
      <c r="AO52" s="1126"/>
      <c r="AP52" s="1126" t="str">
        <f>IF(T52="","",T52)</f>
        <v>Добавить группу потребителей</v>
      </c>
      <c r="AQ52" s="1126"/>
      <c r="AR52" s="1126"/>
      <c r="AS52" s="1781">
        <v>11</v>
      </c>
    </row>
    <row customHeight="1" ht="0">
      <c r="A53" s="1989" t="s">
        <v>200</v>
      </c>
      <c r="B53" s="1989" t="s">
        <v>201</v>
      </c>
      <c r="C53" s="1989" t="s">
        <v>202</v>
      </c>
      <c r="D53" s="1989" t="s">
        <v>203</v>
      </c>
      <c r="E53" s="2885"/>
      <c r="F53" s="2885"/>
      <c r="G53" s="2885"/>
      <c r="H53" s="2884"/>
      <c r="I53" s="1989"/>
      <c r="J53" s="1989"/>
      <c r="K53" s="1989"/>
      <c r="L53" s="1990"/>
      <c r="M53" s="1991"/>
      <c r="N53" s="1991"/>
      <c r="O53" s="1163"/>
      <c r="P53" s="986"/>
      <c r="Q53" s="1001"/>
      <c r="R53" s="981"/>
      <c r="S53" s="2012"/>
      <c r="T53" s="2013"/>
      <c r="U53" s="2014"/>
      <c r="V53" s="2014"/>
      <c r="W53" s="2014"/>
      <c r="X53" s="2014"/>
      <c r="Y53" s="2014"/>
      <c r="Z53" s="2014"/>
      <c r="AA53" s="2014"/>
      <c r="AB53" s="2014"/>
      <c r="AC53" s="2014"/>
      <c r="AD53" s="2014"/>
      <c r="AE53" s="2014"/>
      <c r="AF53" s="2014"/>
      <c r="AG53" s="2014"/>
      <c r="AH53" s="2014"/>
      <c r="AI53" s="2014"/>
      <c r="AJ53" s="2014"/>
      <c r="AK53" s="2014"/>
      <c r="AL53" s="2014"/>
      <c r="AM53" s="2015"/>
      <c r="AO53" s="1126"/>
      <c r="AP53" s="1126" t="str">
        <f>IF(T53="","",T53)</f>
        <v/>
      </c>
      <c r="AQ53" s="1126"/>
      <c r="AR53" s="1126"/>
      <c r="AS53" s="1781">
        <v>0</v>
      </c>
    </row>
    <row s="34658" customFormat="1" customHeight="1" ht="1.05">
      <c r="A54" s="1969" t="s">
        <v>200</v>
      </c>
      <c r="B54" s="1969" t="s">
        <v>201</v>
      </c>
      <c r="C54" s="1969" t="s">
        <v>202</v>
      </c>
      <c r="D54" s="1940"/>
      <c r="E54" s="2885"/>
      <c r="F54" s="2885"/>
      <c r="G54" s="2884"/>
      <c r="H54" s="1940"/>
      <c r="I54" s="1940"/>
      <c r="J54" s="1940"/>
      <c r="K54" s="1940"/>
      <c r="L54" s="1965"/>
      <c r="M54" s="1941"/>
      <c r="N54" s="1941"/>
      <c r="P54" s="1942"/>
      <c r="Q54" s="1943"/>
      <c r="R54" s="1942"/>
      <c r="S54" s="1948"/>
      <c r="T54" s="1951" t="s">
        <v>432</v>
      </c>
      <c r="U54" s="1950"/>
      <c r="V54" s="1950"/>
      <c r="W54" s="1950"/>
      <c r="X54" s="1950"/>
      <c r="Y54" s="1950"/>
      <c r="Z54" s="1950"/>
      <c r="AA54" s="1950"/>
      <c r="AB54" s="1950"/>
      <c r="AC54" s="1950"/>
      <c r="AD54" s="1950"/>
      <c r="AE54" s="1950"/>
      <c r="AF54" s="1950"/>
      <c r="AG54" s="1950"/>
      <c r="AH54" s="1950"/>
      <c r="AI54" s="1950"/>
      <c r="AJ54" s="1950"/>
      <c r="AK54" s="1950"/>
      <c r="AL54" s="1950"/>
      <c r="AM54" s="1950"/>
      <c r="AO54" s="1415"/>
      <c r="AP54" s="1415" t="str">
        <f>IF(T54="","",T54)</f>
        <v>Добавить источник для дифференциации</v>
      </c>
      <c r="AQ54" s="1415"/>
      <c r="AR54" s="1415"/>
      <c r="AS54" s="1144">
        <v>1</v>
      </c>
    </row>
    <row s="34658" customFormat="1" customHeight="1" ht="1.05">
      <c r="A55" s="1969" t="s">
        <v>200</v>
      </c>
      <c r="B55" s="1969" t="s">
        <v>201</v>
      </c>
      <c r="C55" s="1940"/>
      <c r="D55" s="1940"/>
      <c r="E55" s="2885"/>
      <c r="F55" s="2884"/>
      <c r="G55" s="1940"/>
      <c r="H55" s="1940"/>
      <c r="I55" s="1940"/>
      <c r="J55" s="1940"/>
      <c r="K55" s="1940"/>
      <c r="L55" s="1965"/>
      <c r="M55" s="1947"/>
      <c r="N55" s="1947"/>
      <c r="P55" s="1942"/>
      <c r="Q55" s="1943"/>
      <c r="R55" s="1942"/>
      <c r="S55" s="1948"/>
      <c r="T55" s="1951" t="s">
        <v>433</v>
      </c>
      <c r="U55" s="1950"/>
      <c r="V55" s="1950"/>
      <c r="W55" s="1950"/>
      <c r="X55" s="1950"/>
      <c r="Y55" s="1950"/>
      <c r="Z55" s="1950"/>
      <c r="AA55" s="1950"/>
      <c r="AB55" s="1950"/>
      <c r="AC55" s="1950"/>
      <c r="AD55" s="1950"/>
      <c r="AE55" s="1950"/>
      <c r="AF55" s="1950"/>
      <c r="AG55" s="1950"/>
      <c r="AH55" s="1950"/>
      <c r="AI55" s="1950"/>
      <c r="AJ55" s="1950"/>
      <c r="AK55" s="1950"/>
      <c r="AL55" s="1950"/>
      <c r="AM55" s="1950"/>
      <c r="AO55" s="1415"/>
      <c r="AP55" s="1415" t="str">
        <f>IF(T55="","",T55)</f>
        <v>Добавить централизованную систему для дифференциации</v>
      </c>
      <c r="AQ55" s="1415"/>
      <c r="AR55" s="1415"/>
      <c r="AS55" s="1144">
        <v>1</v>
      </c>
    </row>
    <row s="34658" customFormat="1" customHeight="1" ht="1.05">
      <c r="A56" s="1969" t="s">
        <v>200</v>
      </c>
      <c r="B56" s="1969"/>
      <c r="C56" s="1969"/>
      <c r="D56" s="1969"/>
      <c r="E56" s="2884"/>
      <c r="F56" s="1969"/>
      <c r="G56" s="1969"/>
      <c r="H56" s="1969"/>
      <c r="I56" s="1969"/>
      <c r="J56" s="1969"/>
      <c r="K56" s="1969"/>
      <c r="L56" s="1972"/>
      <c r="M56" s="1947"/>
      <c r="N56" s="1947"/>
      <c r="O56" s="1144"/>
      <c r="P56" s="1006"/>
      <c r="Q56" s="1970"/>
      <c r="R56" s="1006"/>
      <c r="S56" s="1948"/>
      <c r="T56" s="1951" t="s">
        <v>434</v>
      </c>
      <c r="U56" s="1950"/>
      <c r="V56" s="1950"/>
      <c r="W56" s="1950"/>
      <c r="X56" s="1950"/>
      <c r="Y56" s="1950"/>
      <c r="Z56" s="1950"/>
      <c r="AA56" s="1950"/>
      <c r="AB56" s="1950"/>
      <c r="AC56" s="1950"/>
      <c r="AD56" s="1950"/>
      <c r="AE56" s="1950"/>
      <c r="AF56" s="1950"/>
      <c r="AG56" s="1950"/>
      <c r="AH56" s="1950"/>
      <c r="AI56" s="1950"/>
      <c r="AJ56" s="1950"/>
      <c r="AK56" s="1950"/>
      <c r="AL56" s="1950"/>
      <c r="AM56" s="1950"/>
      <c r="AO56" s="1126"/>
      <c r="AP56" s="1126" t="str">
        <f>IF(T56="","",T56)</f>
        <v>Добавить территорию для дифференциации</v>
      </c>
      <c r="AQ56" s="1126"/>
      <c r="AR56" s="1126"/>
      <c r="AS56" s="1137">
        <v>1</v>
      </c>
    </row>
    <row s="34658" customFormat="1" customHeight="1" ht="1.05">
      <c r="A57" s="1940"/>
      <c r="B57" s="1940"/>
      <c r="C57" s="1940"/>
      <c r="D57" s="1940"/>
      <c r="E57" s="1969"/>
      <c r="F57" s="1940"/>
      <c r="G57" s="1940"/>
      <c r="H57" s="1940"/>
      <c r="I57" s="1940"/>
      <c r="J57" s="1940"/>
      <c r="K57" s="1940"/>
      <c r="L57" s="1965"/>
      <c r="M57" s="1947"/>
      <c r="N57" s="1947"/>
      <c r="P57" s="1942"/>
      <c r="Q57" s="1943"/>
      <c r="R57" s="1942"/>
      <c r="S57" s="1948"/>
      <c r="T57" s="1951" t="s">
        <v>466</v>
      </c>
      <c r="U57" s="1950"/>
      <c r="V57" s="1950"/>
      <c r="W57" s="1950"/>
      <c r="X57" s="1950"/>
      <c r="Y57" s="1950"/>
      <c r="Z57" s="1950"/>
      <c r="AA57" s="1950"/>
      <c r="AB57" s="1950"/>
      <c r="AC57" s="1950"/>
      <c r="AD57" s="1950"/>
      <c r="AE57" s="1950"/>
      <c r="AF57" s="1950"/>
      <c r="AG57" s="1950"/>
      <c r="AH57" s="1950"/>
      <c r="AI57" s="1950"/>
      <c r="AJ57" s="1950"/>
      <c r="AK57" s="1950"/>
      <c r="AL57" s="1950"/>
      <c r="AM57" s="1950"/>
      <c r="AO57" s="1415"/>
      <c r="AP57" s="1415" t="str">
        <f>IF(T57="","",T57)</f>
        <v>Добавить наименование тарифа</v>
      </c>
      <c r="AQ57" s="1415"/>
      <c r="AR57" s="1415"/>
      <c r="AS57" s="1144">
        <v>1</v>
      </c>
    </row>
    <row customHeight="1" ht="11.549999999999999">
      <c r="M58" s="1786"/>
      <c r="N58" s="1786"/>
      <c r="O58" s="1163"/>
      <c r="P58" s="1781"/>
      <c r="Q58" s="1781"/>
      <c r="R58" s="1781"/>
      <c r="S58" s="1781"/>
      <c r="AN58" s="1781"/>
      <c r="AO58" s="1781"/>
      <c r="AP58" s="1781"/>
      <c r="AQ58" s="1781"/>
      <c r="AR58" s="1781"/>
      <c r="AS58" s="1781">
        <v>11</v>
      </c>
    </row>
    <row customHeight="1" ht="23.25">
      <c r="O59" s="1163"/>
      <c r="S59" s="1879"/>
      <c r="T59" s="2911"/>
      <c r="U59" s="2911"/>
      <c r="V59" s="2911"/>
      <c r="W59" s="2911"/>
      <c r="X59" s="2911"/>
      <c r="Y59" s="2911"/>
      <c r="Z59" s="2911"/>
      <c r="AA59" s="2911"/>
      <c r="AB59" s="2911"/>
      <c r="AC59" s="2911"/>
      <c r="AD59" s="2911"/>
      <c r="AE59" s="2911"/>
      <c r="AF59" s="2911"/>
      <c r="AG59" s="2911"/>
      <c r="AH59" s="2911"/>
      <c r="AI59" s="2911"/>
      <c r="AJ59" s="2911"/>
      <c r="AK59" s="2911"/>
      <c r="AL59" s="2911"/>
      <c r="AM59" s="2911"/>
      <c r="AS59" s="1781">
        <v>22</v>
      </c>
    </row>
    <row customHeight="1" ht="30.45">
      <c r="O60" s="1163"/>
      <c r="T60" s="2911"/>
      <c r="U60" s="2911"/>
      <c r="V60" s="2911"/>
      <c r="W60" s="2911"/>
      <c r="X60" s="2911"/>
      <c r="Y60" s="2911"/>
      <c r="Z60" s="2911"/>
      <c r="AA60" s="2911"/>
      <c r="AB60" s="2911"/>
      <c r="AC60" s="2911"/>
      <c r="AD60" s="2911"/>
      <c r="AE60" s="2911"/>
      <c r="AF60" s="2911"/>
      <c r="AG60" s="2911"/>
      <c r="AH60" s="2911"/>
      <c r="AI60" s="2911"/>
      <c r="AJ60" s="2911"/>
      <c r="AK60" s="2911"/>
      <c r="AL60" s="2911"/>
      <c r="AM60" s="2911"/>
      <c r="AS60" s="1781">
        <v>29</v>
      </c>
    </row>
    <row customHeight="1" ht="42">
      <c r="O61" s="1163"/>
      <c r="T61" s="2911"/>
      <c r="U61" s="2911"/>
      <c r="V61" s="2911"/>
      <c r="W61" s="2911"/>
      <c r="X61" s="2911"/>
      <c r="Y61" s="2911"/>
      <c r="Z61" s="2911"/>
      <c r="AA61" s="2911"/>
      <c r="AB61" s="2911"/>
      <c r="AC61" s="2911"/>
      <c r="AD61" s="2911"/>
      <c r="AE61" s="2911"/>
      <c r="AF61" s="2911"/>
      <c r="AG61" s="2911"/>
      <c r="AH61" s="2911"/>
      <c r="AI61" s="2911"/>
      <c r="AJ61" s="2911"/>
      <c r="AK61" s="2911"/>
      <c r="AL61" s="2911"/>
      <c r="AM61" s="2911"/>
      <c r="AS61" s="1781">
        <v>40</v>
      </c>
    </row>
    <row customHeight="1" ht="14.699999999999998">
      <c r="O62" s="1163"/>
      <c r="AS62" s="1781">
        <v>14</v>
      </c>
    </row>
    <row customHeight="1" ht="21">
      <c r="O63" s="1163"/>
      <c r="S63" s="1879"/>
      <c r="T63" s="2925"/>
      <c r="U63" s="2911"/>
      <c r="V63" s="2911"/>
      <c r="W63" s="2911"/>
      <c r="X63" s="2911"/>
      <c r="Y63" s="2911"/>
      <c r="Z63" s="2911"/>
      <c r="AA63" s="2911"/>
      <c r="AB63" s="2911"/>
      <c r="AC63" s="2911"/>
      <c r="AD63" s="2911"/>
      <c r="AE63" s="2911"/>
      <c r="AF63" s="2911"/>
      <c r="AG63" s="2911"/>
      <c r="AH63" s="2911"/>
      <c r="AI63" s="2911"/>
      <c r="AJ63" s="2911"/>
      <c r="AK63" s="2911"/>
      <c r="AL63" s="2911"/>
      <c r="AM63" s="2911"/>
      <c r="AS63" s="1781">
        <v>20</v>
      </c>
    </row>
    <row customHeight="1" ht="29.25">
      <c r="O64" s="1163"/>
      <c r="T64" s="2911"/>
      <c r="U64" s="2911"/>
      <c r="V64" s="2911"/>
      <c r="W64" s="2911"/>
      <c r="X64" s="2911"/>
      <c r="Y64" s="2911"/>
      <c r="Z64" s="2911"/>
      <c r="AA64" s="2911"/>
      <c r="AB64" s="2911"/>
      <c r="AC64" s="2911"/>
      <c r="AD64" s="2911"/>
      <c r="AE64" s="2911"/>
      <c r="AF64" s="2911"/>
      <c r="AG64" s="2911"/>
      <c r="AH64" s="2911"/>
      <c r="AI64" s="2911"/>
      <c r="AJ64" s="2911"/>
      <c r="AK64" s="2911"/>
      <c r="AL64" s="2911"/>
      <c r="AM64" s="2911"/>
      <c r="AS64" s="1781">
        <v>28</v>
      </c>
    </row>
    <row customHeight="1" ht="35.699999999999996">
      <c r="T65" s="2911"/>
      <c r="U65" s="2911"/>
      <c r="V65" s="2911"/>
      <c r="W65" s="2911"/>
      <c r="X65" s="2911"/>
      <c r="Y65" s="2911"/>
      <c r="Z65" s="2911"/>
      <c r="AA65" s="2911"/>
      <c r="AB65" s="2911"/>
      <c r="AC65" s="2911"/>
      <c r="AD65" s="2911"/>
      <c r="AE65" s="2911"/>
      <c r="AF65" s="2911"/>
      <c r="AG65" s="2911"/>
      <c r="AH65" s="2911"/>
      <c r="AI65" s="2911"/>
      <c r="AJ65" s="2911"/>
      <c r="AK65" s="2911"/>
      <c r="AL65" s="2911"/>
      <c r="AM65" s="2911"/>
      <c r="AS65" s="1781">
        <v>34</v>
      </c>
    </row>
    <row customHeight="1" ht="22.5" hidden="1">
      <c r="A66" s="1786" t="s">
        <v>82</v>
      </c>
      <c r="B66" s="1786">
        <v>0</v>
      </c>
      <c r="C66" s="1786">
        <v>0</v>
      </c>
      <c r="D66" s="1786">
        <v>0</v>
      </c>
      <c r="E66" s="1786">
        <v>0</v>
      </c>
      <c r="F66" s="1786">
        <v>0</v>
      </c>
      <c r="G66" s="1786">
        <v>0</v>
      </c>
      <c r="H66" s="1786">
        <v>0</v>
      </c>
      <c r="I66" s="1786">
        <v>0</v>
      </c>
      <c r="J66" s="1786">
        <v>0</v>
      </c>
      <c r="K66" s="1786">
        <v>0</v>
      </c>
      <c r="L66" s="1955">
        <v>0</v>
      </c>
      <c r="M66" s="1988">
        <v>0</v>
      </c>
      <c r="N66" s="1988">
        <v>0</v>
      </c>
      <c r="O66" s="1988">
        <v>0</v>
      </c>
      <c r="P66" s="1954">
        <v>0</v>
      </c>
      <c r="Q66" s="970">
        <v>3</v>
      </c>
      <c r="R66" s="970">
        <v>3</v>
      </c>
      <c r="S66" s="1207">
        <v>12</v>
      </c>
      <c r="T66" s="1781">
        <v>31</v>
      </c>
      <c r="U66" s="1781">
        <v>0</v>
      </c>
      <c r="V66" s="1781">
        <v>0</v>
      </c>
      <c r="W66" s="1781">
        <v>0</v>
      </c>
      <c r="X66" s="1781">
        <v>0</v>
      </c>
      <c r="Y66" s="1781">
        <v>0</v>
      </c>
      <c r="Z66" s="1781">
        <v>0</v>
      </c>
      <c r="AA66" s="1781">
        <v>0</v>
      </c>
      <c r="AB66" s="1781">
        <v>0</v>
      </c>
      <c r="AC66" s="1781">
        <v>0</v>
      </c>
      <c r="AD66" s="1781">
        <v>24</v>
      </c>
      <c r="AE66" s="1781">
        <v>0</v>
      </c>
      <c r="AF66" s="1781">
        <v>24</v>
      </c>
      <c r="AG66" s="1781">
        <v>24</v>
      </c>
      <c r="AH66" s="1781">
        <v>11</v>
      </c>
      <c r="AI66" s="1781">
        <v>3</v>
      </c>
      <c r="AJ66" s="1781">
        <v>11</v>
      </c>
      <c r="AK66" s="1781">
        <v>0</v>
      </c>
      <c r="AL66" s="1781">
        <v>4</v>
      </c>
      <c r="AM66" s="1781">
        <v>115</v>
      </c>
      <c r="AN66" s="1137">
        <v>10</v>
      </c>
      <c r="AO66" s="1137">
        <v>10</v>
      </c>
      <c r="AP66" s="1137">
        <v>10</v>
      </c>
      <c r="AQ66" s="1137">
        <v>10</v>
      </c>
      <c r="AR66" s="1137">
        <v>10</v>
      </c>
      <c r="AS66" s="1781">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17B1BC-6A69-79BB-492C-7D219A88478B}"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2.00390625" hidden="1" customWidth="1"/>
    <col min="10" max="10" style="34657" width="9.8515625" hidden="1" customWidth="1"/>
    <col min="11" max="11" style="34657" width="11.421875" hidden="1" customWidth="1"/>
    <col min="12" max="12" style="35439" width="19.140625" hidden="1" customWidth="1"/>
    <col min="13" max="14" style="35440" width="12.28125" hidden="1" customWidth="1"/>
    <col min="15" max="15" style="35440" width="23.421875" hidden="1" customWidth="1"/>
    <col min="16" max="16" style="35441" width="3.7109375" hidden="1" customWidth="1"/>
    <col min="17" max="18" style="35442" width="3.00390625" customWidth="1"/>
    <col min="19" max="19" style="35443" width="12.00390625" customWidth="1"/>
    <col min="20" max="20" style="34580" width="31.00390625" customWidth="1"/>
    <col min="21" max="21" style="34580" width="0.140625" customWidth="1"/>
    <col min="22" max="22" style="34580" width="24.7109375" hidden="1" customWidth="1"/>
    <col min="23" max="23" style="34580" width="0.140625" hidden="1" customWidth="1"/>
    <col min="24" max="25" style="34580" width="24.710937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24.7109375" customWidth="1"/>
    <col min="31" max="31" style="34580" width="0.140625" customWidth="1"/>
    <col min="32" max="33" style="34580" width="24.00390625" customWidth="1"/>
    <col min="34" max="34" style="34580" width="11.00390625" customWidth="1"/>
    <col min="35" max="35" style="34580" width="3.7109375" customWidth="1"/>
    <col min="36" max="36" style="34580" width="11.00390625" customWidth="1"/>
    <col min="37" max="37" style="34580" width="8.57421875" hidden="1" customWidth="1"/>
    <col min="38" max="38" style="34580" width="4.00390625" customWidth="1"/>
    <col min="39" max="39" style="34580" width="115.00390625" customWidth="1"/>
    <col min="40" max="44" style="34658" width="10.00390625" customWidth="1"/>
    <col min="45" max="45" style="34580" width="10.57421875" hidden="1"/>
  </cols>
  <sheetData>
    <row customHeight="1" ht="22.5" hidden="1">
      <c r="Y1" s="953"/>
      <c r="Z1" s="953"/>
      <c r="AG1" s="953"/>
      <c r="AH1" s="953"/>
      <c r="AS1" s="1781" t="s">
        <v>14</v>
      </c>
    </row>
    <row customHeight="1" ht="21" hidden="1">
      <c r="A2" s="1989"/>
      <c r="B2" s="1989"/>
      <c r="C2" s="1989"/>
      <c r="D2" s="1989"/>
      <c r="E2" s="2884">
        <v>1</v>
      </c>
      <c r="F2" s="1989"/>
      <c r="G2" s="1989"/>
      <c r="H2" s="1989"/>
      <c r="I2" s="1989"/>
      <c r="J2" s="1989"/>
      <c r="K2" s="1989"/>
      <c r="L2" s="1990"/>
      <c r="M2" s="1991"/>
      <c r="N2" s="1991"/>
      <c r="O2" s="1991"/>
      <c r="P2" s="987"/>
      <c r="Q2" s="986"/>
      <c r="R2" s="981"/>
      <c r="S2" s="1962">
        <f>INDEX(PT_DIFFERENTIATION_NUM_NTAR,MATCH(A2,PT_DIFFERENTIATION_NTAR_ID,0))</f>
      </c>
      <c r="T2" s="924" t="s">
        <v>143</v>
      </c>
      <c r="U2" s="926"/>
      <c r="V2" s="2868"/>
      <c r="W2" s="2869"/>
      <c r="X2" s="2869"/>
      <c r="Y2" s="2869"/>
      <c r="Z2" s="2869"/>
      <c r="AA2" s="2869"/>
      <c r="AB2" s="2869"/>
      <c r="AC2" s="2870"/>
      <c r="AD2" s="2868">
        <f>INDEX(PT_DIFFERENTIATION_NTAR,MATCH(A2,PT_DIFFERENTIATION_NTAR_ID,0))</f>
      </c>
      <c r="AE2" s="2869"/>
      <c r="AF2" s="2869"/>
      <c r="AG2" s="2869"/>
      <c r="AH2" s="2869"/>
      <c r="AI2" s="2869"/>
      <c r="AJ2" s="2869"/>
      <c r="AK2" s="2869"/>
      <c r="AL2" s="2870"/>
      <c r="AM2" s="1884" t="s">
        <v>414</v>
      </c>
      <c r="AO2" s="1126"/>
      <c r="AP2" s="1126" t="str">
        <f>IF(T2="","",T2)</f>
        <v>Наименование тарифа</v>
      </c>
      <c r="AQ2" s="1126"/>
      <c r="AR2" s="1126"/>
      <c r="AS2" s="1781">
        <v>0</v>
      </c>
    </row>
    <row customHeight="1" ht="21" hidden="1">
      <c r="A3" s="1989"/>
      <c r="B3" s="1989"/>
      <c r="C3" s="1989"/>
      <c r="D3" s="1989"/>
      <c r="E3" s="2885"/>
      <c r="F3" s="2884">
        <v>1</v>
      </c>
      <c r="G3" s="1989"/>
      <c r="H3" s="1989"/>
      <c r="I3" s="1989"/>
      <c r="J3" s="1989"/>
      <c r="K3" s="1989"/>
      <c r="L3" s="1990"/>
      <c r="M3" s="1991"/>
      <c r="N3" s="1991"/>
      <c r="O3" s="1991"/>
      <c r="P3" s="1958"/>
      <c r="Q3" s="978"/>
      <c r="R3" s="979"/>
      <c r="S3" s="1962">
        <f>INDEX(PT_DIFFERENTIATION_NUM_TER,MATCH(B3,PT_DIFFERENTIATION_TER_ID,0))</f>
      </c>
      <c r="T3" s="934" t="s">
        <v>415</v>
      </c>
      <c r="U3" s="926"/>
      <c r="V3" s="2868"/>
      <c r="W3" s="2869"/>
      <c r="X3" s="2869"/>
      <c r="Y3" s="2869"/>
      <c r="Z3" s="2869"/>
      <c r="AA3" s="2869"/>
      <c r="AB3" s="2869"/>
      <c r="AC3" s="2870"/>
      <c r="AD3" s="2868">
        <f>INDEX(PT_DIFFERENTIATION_TER,MATCH(B3,PT_DIFFERENTIATION_TER_ID,0))</f>
      </c>
      <c r="AE3" s="2869"/>
      <c r="AF3" s="2869"/>
      <c r="AG3" s="2869"/>
      <c r="AH3" s="2869"/>
      <c r="AI3" s="2869"/>
      <c r="AJ3" s="2869"/>
      <c r="AK3" s="2869"/>
      <c r="AL3" s="2870"/>
      <c r="AM3" s="1884" t="s">
        <v>416</v>
      </c>
      <c r="AO3" s="1126"/>
      <c r="AP3" s="1126" t="str">
        <f>IF(T3="","",T3)</f>
        <v>Территория действия тарифа</v>
      </c>
      <c r="AQ3" s="1126"/>
      <c r="AR3" s="1126"/>
      <c r="AS3" s="1781">
        <v>0</v>
      </c>
    </row>
    <row customHeight="1" ht="23.25" hidden="1">
      <c r="A4" s="1989"/>
      <c r="B4" s="1989"/>
      <c r="C4" s="1989"/>
      <c r="D4" s="1989"/>
      <c r="E4" s="2885"/>
      <c r="F4" s="2885"/>
      <c r="G4" s="2884">
        <v>1</v>
      </c>
      <c r="H4" s="1989"/>
      <c r="I4" s="1989"/>
      <c r="J4" s="1989"/>
      <c r="K4" s="1989"/>
      <c r="L4" s="1990"/>
      <c r="M4" s="1991"/>
      <c r="N4" s="1991"/>
      <c r="O4" s="1991"/>
      <c r="P4" s="980"/>
      <c r="Q4" s="978"/>
      <c r="R4" s="979"/>
      <c r="S4" s="1962">
        <f>INDEX(PT_DIFFERENTIATION_NUM_CS,MATCH(C4,PT_DIFFERENTIATION_CS_ID,0))</f>
      </c>
      <c r="T4" s="935" t="s">
        <v>417</v>
      </c>
      <c r="U4" s="926"/>
      <c r="V4" s="2868"/>
      <c r="W4" s="2869"/>
      <c r="X4" s="2869"/>
      <c r="Y4" s="2869"/>
      <c r="Z4" s="2869"/>
      <c r="AA4" s="2869"/>
      <c r="AB4" s="2869"/>
      <c r="AC4" s="2870"/>
      <c r="AD4" s="2868">
        <f>INDEX(PT_DIFFERENTIATION_CS,MATCH(C4,PT_DIFFERENTIATION_CS_ID,0))</f>
      </c>
      <c r="AE4" s="2869"/>
      <c r="AF4" s="2869"/>
      <c r="AG4" s="2869"/>
      <c r="AH4" s="2869"/>
      <c r="AI4" s="2869"/>
      <c r="AJ4" s="2869"/>
      <c r="AK4" s="2869"/>
      <c r="AL4" s="2870"/>
      <c r="AM4" s="1884" t="s">
        <v>418</v>
      </c>
      <c r="AO4" s="1126"/>
      <c r="AP4" s="1126" t="str">
        <f>IF(T4="","",T4)</f>
        <v>Наименование системы теплоснабжения </v>
      </c>
      <c r="AQ4" s="1126"/>
      <c r="AR4" s="1126"/>
      <c r="AS4" s="1781">
        <v>0</v>
      </c>
    </row>
    <row customHeight="1" ht="21" hidden="1">
      <c r="A5" s="1989"/>
      <c r="B5" s="1989"/>
      <c r="C5" s="1989"/>
      <c r="D5" s="1989"/>
      <c r="E5" s="2885"/>
      <c r="F5" s="2885"/>
      <c r="G5" s="2885"/>
      <c r="H5" s="2884">
        <v>1</v>
      </c>
      <c r="I5" s="1989"/>
      <c r="J5" s="1989"/>
      <c r="K5" s="1989"/>
      <c r="L5" s="1990"/>
      <c r="M5" s="1991"/>
      <c r="N5" s="1991"/>
      <c r="O5" s="1991"/>
      <c r="P5" s="980"/>
      <c r="Q5" s="978"/>
      <c r="R5" s="979"/>
      <c r="S5" s="1962">
        <f>INDEX(PT_DIFFERENTIATION_NUM_IST_TE,MATCH(D5,PT_DIFFERENTIATION_IST_TE_ID,0))</f>
      </c>
      <c r="T5" s="936" t="s">
        <v>419</v>
      </c>
      <c r="U5" s="926"/>
      <c r="V5" s="2868"/>
      <c r="W5" s="2869"/>
      <c r="X5" s="2869"/>
      <c r="Y5" s="2869"/>
      <c r="Z5" s="2869"/>
      <c r="AA5" s="2869"/>
      <c r="AB5" s="2869"/>
      <c r="AC5" s="2870"/>
      <c r="AD5" s="2868">
        <f>INDEX(PT_DIFFERENTIATION_IST_TE,MATCH(D5,PT_DIFFERENTIATION_IST_TE_ID,0))</f>
      </c>
      <c r="AE5" s="2869"/>
      <c r="AF5" s="2869"/>
      <c r="AG5" s="2869"/>
      <c r="AH5" s="2869"/>
      <c r="AI5" s="2869"/>
      <c r="AJ5" s="2869"/>
      <c r="AK5" s="2869"/>
      <c r="AL5" s="2870"/>
      <c r="AM5" s="1884" t="s">
        <v>420</v>
      </c>
      <c r="AO5" s="1126"/>
      <c r="AP5" s="1126" t="str">
        <f>IF(T5="","",T5)</f>
        <v>Источник тепловой энергии  </v>
      </c>
      <c r="AQ5" s="1126"/>
      <c r="AR5" s="1126"/>
      <c r="AS5" s="1781">
        <v>0</v>
      </c>
    </row>
    <row customHeight="1" ht="14.25" hidden="1">
      <c r="A6" s="1989"/>
      <c r="B6" s="1989"/>
      <c r="C6" s="1989"/>
      <c r="D6" s="1989"/>
      <c r="E6" s="2885"/>
      <c r="F6" s="2885"/>
      <c r="G6" s="2885"/>
      <c r="H6" s="2885"/>
      <c r="I6" s="2882">
        <f>S5&amp;".1"</f>
      </c>
      <c r="J6" s="1989"/>
      <c r="K6" s="1989"/>
      <c r="L6" s="1990" t="s">
        <v>421</v>
      </c>
      <c r="M6" s="1163"/>
      <c r="P6" s="2883">
        <v>1</v>
      </c>
      <c r="Q6" s="1957"/>
      <c r="R6" s="982"/>
      <c r="S6" s="1668"/>
      <c r="T6" s="2009"/>
      <c r="U6" s="2010"/>
      <c r="V6" s="2922"/>
      <c r="W6" s="2923"/>
      <c r="X6" s="2923"/>
      <c r="Y6" s="2923"/>
      <c r="Z6" s="2923"/>
      <c r="AA6" s="2923"/>
      <c r="AB6" s="2923"/>
      <c r="AC6" s="2924"/>
      <c r="AD6" s="2922"/>
      <c r="AE6" s="2923"/>
      <c r="AF6" s="2923"/>
      <c r="AG6" s="2923"/>
      <c r="AH6" s="2923"/>
      <c r="AI6" s="2923"/>
      <c r="AJ6" s="2923"/>
      <c r="AK6" s="2923"/>
      <c r="AL6" s="2924"/>
      <c r="AM6" s="2011"/>
      <c r="AO6" s="1126"/>
      <c r="AP6" s="1126" t="str">
        <f>IF(T6="","",T6)</f>
        <v/>
      </c>
      <c r="AQ6" s="1126"/>
      <c r="AR6" s="1126"/>
      <c r="AS6" s="1781">
        <v>0</v>
      </c>
    </row>
    <row customHeight="1" ht="21" hidden="1">
      <c r="A7" s="1989"/>
      <c r="B7" s="1989"/>
      <c r="C7" s="1989"/>
      <c r="D7" s="1989"/>
      <c r="E7" s="2885"/>
      <c r="F7" s="2885"/>
      <c r="G7" s="2885"/>
      <c r="H7" s="2885"/>
      <c r="I7" s="2912"/>
      <c r="J7" s="2882">
        <f>I6&amp;".1"</f>
      </c>
      <c r="K7" s="1989"/>
      <c r="L7" s="1990" t="s">
        <v>424</v>
      </c>
      <c r="M7" s="1163"/>
      <c r="N7" s="1992"/>
      <c r="P7" s="2883"/>
      <c r="Q7" s="2883">
        <v>1</v>
      </c>
      <c r="R7" s="983"/>
      <c r="S7" s="1962">
        <f>$J7</f>
      </c>
      <c r="T7" s="912" t="s">
        <v>425</v>
      </c>
      <c r="U7" s="926"/>
      <c r="V7" s="2871"/>
      <c r="W7" s="2872"/>
      <c r="X7" s="2872"/>
      <c r="Y7" s="2872"/>
      <c r="Z7" s="2872"/>
      <c r="AA7" s="2872"/>
      <c r="AB7" s="2872"/>
      <c r="AC7" s="2873"/>
      <c r="AD7" s="2871"/>
      <c r="AE7" s="2872"/>
      <c r="AF7" s="2872"/>
      <c r="AG7" s="2872"/>
      <c r="AH7" s="2872"/>
      <c r="AI7" s="2872"/>
      <c r="AJ7" s="2872"/>
      <c r="AK7" s="2872"/>
      <c r="AL7" s="2873"/>
      <c r="AM7" s="1884" t="s">
        <v>426</v>
      </c>
      <c r="AO7" s="1126"/>
      <c r="AP7" s="1126" t="str">
        <f>IF(T7="","",T7)</f>
        <v>Группа потребителей</v>
      </c>
      <c r="AQ7" s="1126"/>
      <c r="AR7" s="1126"/>
      <c r="AS7" s="1781">
        <v>0</v>
      </c>
    </row>
    <row customHeight="1" ht="21" hidden="1">
      <c r="A8" s="1989"/>
      <c r="B8" s="1989"/>
      <c r="C8" s="1989"/>
      <c r="D8" s="1989"/>
      <c r="E8" s="2885"/>
      <c r="F8" s="2885"/>
      <c r="G8" s="2885"/>
      <c r="H8" s="2885"/>
      <c r="I8" s="2912"/>
      <c r="J8" s="2912"/>
      <c r="K8" s="2882">
        <f>J7&amp;".1"</f>
      </c>
      <c r="L8" s="1990" t="s">
        <v>427</v>
      </c>
      <c r="M8" s="1163"/>
      <c r="N8" s="1992"/>
      <c r="O8" s="1992"/>
      <c r="P8" s="2883"/>
      <c r="Q8" s="2883"/>
      <c r="R8" s="983">
        <v>1</v>
      </c>
      <c r="S8" s="1962">
        <f>$K8</f>
      </c>
      <c r="T8" s="1973"/>
      <c r="U8" s="926"/>
      <c r="V8" s="1377"/>
      <c r="W8" s="951"/>
      <c r="X8" s="1377"/>
      <c r="Y8" s="1883"/>
      <c r="Z8" s="2891"/>
      <c r="AA8" s="2733" t="s">
        <v>66</v>
      </c>
      <c r="AB8" s="2891"/>
      <c r="AC8" s="2733" t="s">
        <v>66</v>
      </c>
      <c r="AD8" s="1377"/>
      <c r="AE8" s="951"/>
      <c r="AF8" s="1377"/>
      <c r="AG8" s="1883"/>
      <c r="AH8" s="2891"/>
      <c r="AI8" s="2733" t="s">
        <v>66</v>
      </c>
      <c r="AJ8" s="2891"/>
      <c r="AK8" s="2733" t="s">
        <v>66</v>
      </c>
      <c r="AL8" s="951"/>
      <c r="AM8" s="2879" t="s">
        <v>428</v>
      </c>
      <c r="AN8" s="1137">
        <f>STRCHECKDATE(V9:AL9)</f>
      </c>
      <c r="AO8" s="1126"/>
      <c r="AP8" s="1126" t="str">
        <f>IF(T8="","",T8)</f>
        <v/>
      </c>
      <c r="AQ8" s="1126"/>
      <c r="AR8" s="1126"/>
      <c r="AS8" s="1781">
        <v>0</v>
      </c>
    </row>
    <row customHeight="1" ht="14.25" hidden="1">
      <c r="A9" s="1989"/>
      <c r="B9" s="1989"/>
      <c r="C9" s="1989"/>
      <c r="D9" s="1989"/>
      <c r="E9" s="2885"/>
      <c r="F9" s="2885"/>
      <c r="G9" s="2885"/>
      <c r="H9" s="2885"/>
      <c r="I9" s="2912"/>
      <c r="J9" s="2912"/>
      <c r="K9" s="2882"/>
      <c r="L9" s="1990"/>
      <c r="M9" s="1163"/>
      <c r="N9" s="1992"/>
      <c r="O9" s="1992"/>
      <c r="P9" s="2883"/>
      <c r="Q9" s="2883"/>
      <c r="R9" s="983"/>
      <c r="S9" s="1968"/>
      <c r="T9" s="926"/>
      <c r="U9" s="926"/>
      <c r="V9" s="951"/>
      <c r="W9" s="951"/>
      <c r="X9" s="951"/>
      <c r="Y9" s="954" t="str">
        <f>Z8&amp;"-"&amp;AB8</f>
        <v>-</v>
      </c>
      <c r="Z9" s="2892"/>
      <c r="AA9" s="2733"/>
      <c r="AB9" s="2892"/>
      <c r="AC9" s="2733"/>
      <c r="AD9" s="951"/>
      <c r="AE9" s="951"/>
      <c r="AF9" s="951"/>
      <c r="AG9" s="954" t="str">
        <f>AH8&amp;"-"&amp;AJ8</f>
        <v>-</v>
      </c>
      <c r="AH9" s="2892"/>
      <c r="AI9" s="2733"/>
      <c r="AJ9" s="2892"/>
      <c r="AK9" s="2733"/>
      <c r="AL9" s="951"/>
      <c r="AM9" s="2880"/>
      <c r="AO9" s="1126"/>
      <c r="AP9" s="1126" t="str">
        <f>IF(T9="","",T9)</f>
        <v/>
      </c>
      <c r="AQ9" s="1126"/>
      <c r="AR9" s="1126"/>
      <c r="AS9" s="1781">
        <v>0</v>
      </c>
    </row>
    <row customHeight="1" ht="15" hidden="1">
      <c r="A10" s="1989"/>
      <c r="B10" s="1989"/>
      <c r="C10" s="1989"/>
      <c r="D10" s="1989"/>
      <c r="E10" s="2885"/>
      <c r="F10" s="2885"/>
      <c r="G10" s="2885"/>
      <c r="H10" s="2885"/>
      <c r="I10" s="2912"/>
      <c r="J10" s="2882"/>
      <c r="K10" s="1989"/>
      <c r="L10" s="1990"/>
      <c r="M10" s="1163"/>
      <c r="N10" s="1992"/>
      <c r="P10" s="2883"/>
      <c r="Q10" s="2883"/>
      <c r="R10" s="982"/>
      <c r="S10" s="1904"/>
      <c r="T10" s="913" t="s">
        <v>429</v>
      </c>
      <c r="U10" s="993"/>
      <c r="V10" s="993"/>
      <c r="W10" s="993"/>
      <c r="X10" s="993"/>
      <c r="Y10" s="993"/>
      <c r="Z10" s="993"/>
      <c r="AA10" s="993"/>
      <c r="AB10" s="993"/>
      <c r="AC10" s="993"/>
      <c r="AD10" s="993"/>
      <c r="AE10" s="993"/>
      <c r="AF10" s="993"/>
      <c r="AG10" s="993"/>
      <c r="AH10" s="993"/>
      <c r="AI10" s="993"/>
      <c r="AJ10" s="993"/>
      <c r="AK10" s="993"/>
      <c r="AL10" s="950"/>
      <c r="AM10" s="2881"/>
      <c r="AO10" s="1126"/>
      <c r="AP10" s="1126" t="str">
        <f>IF(T10="","",T10)</f>
        <v>Добавить вид теплоносителя (параметры теплоносителя)</v>
      </c>
      <c r="AQ10" s="1126"/>
      <c r="AR10" s="1126"/>
      <c r="AS10" s="1781">
        <v>0</v>
      </c>
    </row>
    <row customHeight="1" ht="11.25" hidden="1">
      <c r="A11" s="1989"/>
      <c r="B11" s="1989"/>
      <c r="C11" s="1989"/>
      <c r="D11" s="1989"/>
      <c r="E11" s="2885"/>
      <c r="F11" s="2885"/>
      <c r="G11" s="2885"/>
      <c r="H11" s="2885"/>
      <c r="I11" s="2882"/>
      <c r="J11" s="1989"/>
      <c r="K11" s="1989"/>
      <c r="L11" s="1990"/>
      <c r="M11" s="1163"/>
      <c r="P11" s="2883"/>
      <c r="Q11" s="1957"/>
      <c r="R11" s="982"/>
      <c r="S11" s="1904"/>
      <c r="T11" s="991" t="s">
        <v>430</v>
      </c>
      <c r="U11" s="993"/>
      <c r="V11" s="993"/>
      <c r="W11" s="993"/>
      <c r="X11" s="993"/>
      <c r="Y11" s="993"/>
      <c r="Z11" s="993"/>
      <c r="AA11" s="993"/>
      <c r="AB11" s="993"/>
      <c r="AC11" s="992"/>
      <c r="AD11" s="993"/>
      <c r="AE11" s="993"/>
      <c r="AF11" s="993"/>
      <c r="AG11" s="993"/>
      <c r="AH11" s="993"/>
      <c r="AI11" s="993"/>
      <c r="AJ11" s="993"/>
      <c r="AK11" s="992"/>
      <c r="AL11" s="993"/>
      <c r="AM11" s="929"/>
      <c r="AO11" s="1126"/>
      <c r="AP11" s="1126" t="str">
        <f>IF(T11="","",T11)</f>
        <v>Добавить группу потребителей</v>
      </c>
      <c r="AQ11" s="1126"/>
      <c r="AR11" s="1126"/>
      <c r="AS11" s="1781">
        <v>0</v>
      </c>
    </row>
    <row customHeight="1" ht="14.25" hidden="1">
      <c r="A12" s="1989"/>
      <c r="B12" s="1989"/>
      <c r="C12" s="1989"/>
      <c r="D12" s="1989"/>
      <c r="E12" s="2885"/>
      <c r="F12" s="2885"/>
      <c r="G12" s="2885"/>
      <c r="H12" s="2884"/>
      <c r="I12" s="1989"/>
      <c r="J12" s="1989"/>
      <c r="K12" s="1989"/>
      <c r="L12" s="1990"/>
      <c r="M12" s="1991"/>
      <c r="N12" s="1991"/>
      <c r="O12" s="1163"/>
      <c r="P12" s="986"/>
      <c r="Q12" s="1001"/>
      <c r="R12" s="981"/>
      <c r="S12" s="2012"/>
      <c r="T12" s="2013"/>
      <c r="U12" s="2014"/>
      <c r="V12" s="2014"/>
      <c r="W12" s="2014"/>
      <c r="X12" s="2014"/>
      <c r="Y12" s="2014"/>
      <c r="Z12" s="2014"/>
      <c r="AA12" s="2014"/>
      <c r="AB12" s="2014"/>
      <c r="AC12" s="2014"/>
      <c r="AD12" s="2014"/>
      <c r="AE12" s="2014"/>
      <c r="AF12" s="2014"/>
      <c r="AG12" s="2014"/>
      <c r="AH12" s="2014"/>
      <c r="AI12" s="2014"/>
      <c r="AJ12" s="2014"/>
      <c r="AK12" s="2014"/>
      <c r="AL12" s="2014"/>
      <c r="AM12" s="2015"/>
      <c r="AO12" s="1126"/>
      <c r="AP12" s="1126" t="str">
        <f>IF(T12="","",T12)</f>
        <v/>
      </c>
      <c r="AQ12" s="1126"/>
      <c r="AR12" s="1126"/>
      <c r="AS12" s="1781">
        <v>0</v>
      </c>
    </row>
    <row s="34658" customFormat="1" customHeight="1" ht="14.25" hidden="1">
      <c r="A13" s="1940"/>
      <c r="B13" s="1940"/>
      <c r="C13" s="1940"/>
      <c r="D13" s="1940"/>
      <c r="E13" s="2885"/>
      <c r="F13" s="2885"/>
      <c r="G13" s="2884"/>
      <c r="H13" s="1940"/>
      <c r="I13" s="1940"/>
      <c r="J13" s="1940"/>
      <c r="K13" s="1940"/>
      <c r="L13" s="1965"/>
      <c r="M13" s="1941"/>
      <c r="N13" s="1941"/>
      <c r="P13" s="1942"/>
      <c r="Q13" s="1943"/>
      <c r="R13" s="1942"/>
      <c r="S13" s="1944"/>
      <c r="T13" s="1945" t="s">
        <v>432</v>
      </c>
      <c r="U13" s="1946"/>
      <c r="V13" s="1946"/>
      <c r="W13" s="1946"/>
      <c r="X13" s="1946"/>
      <c r="Y13" s="1946"/>
      <c r="Z13" s="1946"/>
      <c r="AA13" s="1946"/>
      <c r="AB13" s="1946"/>
      <c r="AC13" s="1946"/>
      <c r="AD13" s="1946"/>
      <c r="AE13" s="1946"/>
      <c r="AF13" s="1946"/>
      <c r="AG13" s="1946"/>
      <c r="AH13" s="1946"/>
      <c r="AI13" s="1946"/>
      <c r="AJ13" s="1946"/>
      <c r="AK13" s="1946"/>
      <c r="AL13" s="1946"/>
      <c r="AM13" s="1946"/>
      <c r="AO13" s="1415"/>
      <c r="AP13" s="1415" t="str">
        <f>IF(T13="","",T13)</f>
        <v>Добавить источник для дифференциации</v>
      </c>
      <c r="AQ13" s="1415"/>
      <c r="AR13" s="1415"/>
      <c r="AS13" s="1144">
        <v>0</v>
      </c>
    </row>
    <row s="34658" customFormat="1" customHeight="1" ht="14.25" hidden="1">
      <c r="A14" s="1940"/>
      <c r="B14" s="1940"/>
      <c r="C14" s="1940"/>
      <c r="D14" s="1940"/>
      <c r="E14" s="2885"/>
      <c r="F14" s="2884"/>
      <c r="G14" s="1940"/>
      <c r="H14" s="1940"/>
      <c r="I14" s="1940"/>
      <c r="J14" s="1940"/>
      <c r="K14" s="1940"/>
      <c r="L14" s="1965"/>
      <c r="M14" s="1947"/>
      <c r="N14" s="1947"/>
      <c r="P14" s="1942"/>
      <c r="Q14" s="1943"/>
      <c r="R14" s="1942"/>
      <c r="S14" s="1948"/>
      <c r="T14" s="1949" t="s">
        <v>433</v>
      </c>
      <c r="U14" s="1950"/>
      <c r="V14" s="1950"/>
      <c r="W14" s="1950"/>
      <c r="X14" s="1950"/>
      <c r="Y14" s="1950"/>
      <c r="Z14" s="1950"/>
      <c r="AA14" s="1950"/>
      <c r="AB14" s="1950"/>
      <c r="AC14" s="1950"/>
      <c r="AD14" s="1950"/>
      <c r="AE14" s="1950"/>
      <c r="AF14" s="1950"/>
      <c r="AG14" s="1950"/>
      <c r="AH14" s="1950"/>
      <c r="AI14" s="1950"/>
      <c r="AJ14" s="1950"/>
      <c r="AK14" s="1950"/>
      <c r="AL14" s="1950"/>
      <c r="AM14" s="1950"/>
      <c r="AO14" s="1415"/>
      <c r="AP14" s="1415" t="str">
        <f>IF(T14="","",T14)</f>
        <v>Добавить централизованную систему для дифференциации</v>
      </c>
      <c r="AQ14" s="1415"/>
      <c r="AR14" s="1415"/>
      <c r="AS14" s="1144">
        <v>0</v>
      </c>
    </row>
    <row s="34658" customFormat="1" customHeight="1" ht="14.25" hidden="1">
      <c r="A15" s="1940"/>
      <c r="B15" s="1940"/>
      <c r="C15" s="1940"/>
      <c r="D15" s="1940"/>
      <c r="E15" s="2884"/>
      <c r="F15" s="1940"/>
      <c r="G15" s="1940"/>
      <c r="H15" s="1940"/>
      <c r="I15" s="1940"/>
      <c r="J15" s="1940"/>
      <c r="K15" s="1940"/>
      <c r="L15" s="1965"/>
      <c r="M15" s="1947"/>
      <c r="N15" s="1947"/>
      <c r="P15" s="1942"/>
      <c r="Q15" s="1943"/>
      <c r="R15" s="1942"/>
      <c r="S15" s="1948"/>
      <c r="T15" s="1951" t="s">
        <v>434</v>
      </c>
      <c r="U15" s="1950"/>
      <c r="V15" s="1950"/>
      <c r="W15" s="1950"/>
      <c r="X15" s="1950"/>
      <c r="Y15" s="1950"/>
      <c r="Z15" s="1950"/>
      <c r="AA15" s="1950"/>
      <c r="AB15" s="1950"/>
      <c r="AC15" s="1950"/>
      <c r="AD15" s="1950"/>
      <c r="AE15" s="1950"/>
      <c r="AF15" s="1950"/>
      <c r="AG15" s="1950"/>
      <c r="AH15" s="1950"/>
      <c r="AI15" s="1950"/>
      <c r="AJ15" s="1950"/>
      <c r="AK15" s="1950"/>
      <c r="AL15" s="1950"/>
      <c r="AM15" s="1950"/>
      <c r="AO15" s="1415"/>
      <c r="AP15" s="1415" t="str">
        <f>IF(T15="","",T15)</f>
        <v>Добавить территорию для дифференциации</v>
      </c>
      <c r="AQ15" s="1415"/>
      <c r="AR15" s="1415"/>
      <c r="AS15" s="1144">
        <v>0</v>
      </c>
    </row>
    <row customHeight="1" ht="14.25" hidden="1">
      <c r="AC16" s="953"/>
      <c r="AK16" s="953"/>
      <c r="AS16" s="1781">
        <v>0</v>
      </c>
    </row>
    <row customHeight="1" ht="14.25" hidden="1">
      <c r="AD17" s="1986"/>
      <c r="AE17" s="1986"/>
      <c r="AF17" s="1986"/>
      <c r="AG17" s="1987"/>
      <c r="AH17" s="2893"/>
      <c r="AI17" s="2894" t="s">
        <v>66</v>
      </c>
      <c r="AJ17" s="2893"/>
      <c r="AK17" s="2894" t="s">
        <v>66</v>
      </c>
      <c r="AS17" s="1781">
        <v>0</v>
      </c>
    </row>
    <row customHeight="1" ht="14.25" hidden="1">
      <c r="AD18" s="1986"/>
      <c r="AE18" s="1986"/>
      <c r="AF18" s="1986"/>
      <c r="AG18" s="954" t="str">
        <f>AH17&amp;"-"&amp;AJ17</f>
        <v>-</v>
      </c>
      <c r="AH18" s="2894"/>
      <c r="AI18" s="2894"/>
      <c r="AJ18" s="2894"/>
      <c r="AK18" s="2894"/>
      <c r="AS18" s="1781">
        <v>0</v>
      </c>
    </row>
    <row customHeight="1" ht="14.25" hidden="1">
      <c r="AK19" s="953"/>
      <c r="AS19" s="1781">
        <v>0</v>
      </c>
    </row>
    <row s="34657" customFormat="1" customHeight="1" ht="22.5" hidden="1">
      <c r="L20" s="1955"/>
      <c r="M20" s="1988"/>
      <c r="N20" s="1988"/>
      <c r="O20" s="1993" t="s">
        <v>435</v>
      </c>
      <c r="P20" s="1988"/>
      <c r="Q20" s="1997"/>
      <c r="R20" s="1997"/>
      <c r="S20" s="1355"/>
      <c r="Z20" s="1993"/>
      <c r="AB20" s="1993"/>
      <c r="AC20" s="1992"/>
      <c r="AH20" s="1993"/>
      <c r="AJ20" s="1993"/>
      <c r="AK20" s="1992"/>
      <c r="AN20" s="1137"/>
      <c r="AO20" s="1137"/>
      <c r="AP20" s="1137"/>
      <c r="AQ20" s="1137"/>
      <c r="AR20" s="1137"/>
      <c r="AS20" s="1786">
        <v>0</v>
      </c>
    </row>
    <row s="34657" customFormat="1" customHeight="1" ht="14.25" hidden="1">
      <c r="L21" s="1955"/>
      <c r="M21" s="1988"/>
      <c r="N21" s="1988"/>
      <c r="O21" s="1988"/>
      <c r="P21" s="1988"/>
      <c r="Q21" s="1997"/>
      <c r="R21" s="1997"/>
      <c r="S21" s="1355"/>
      <c r="AC21" s="1992"/>
      <c r="AK21" s="1992"/>
      <c r="AN21" s="1137"/>
      <c r="AO21" s="1137"/>
      <c r="AP21" s="1137"/>
      <c r="AQ21" s="1137"/>
      <c r="AR21" s="1137"/>
      <c r="AS21" s="1786">
        <v>0</v>
      </c>
    </row>
    <row s="34657" customFormat="1" customHeight="1" ht="14.25" hidden="1">
      <c r="L22" s="1955"/>
      <c r="M22" s="1988"/>
      <c r="N22" s="1988"/>
      <c r="O22" s="1990" t="s">
        <v>436</v>
      </c>
      <c r="P22" s="1988"/>
      <c r="Q22" s="1997"/>
      <c r="R22" s="1997"/>
      <c r="S22" s="1355"/>
      <c r="T22" s="1786" t="s">
        <v>437</v>
      </c>
      <c r="AA22" s="812" t="s">
        <v>438</v>
      </c>
      <c r="AC22" s="812" t="s">
        <v>439</v>
      </c>
      <c r="AD22" s="1786" t="s">
        <v>437</v>
      </c>
      <c r="AI22" s="812" t="s">
        <v>440</v>
      </c>
      <c r="AK22" s="812" t="s">
        <v>439</v>
      </c>
      <c r="AN22" s="1137"/>
      <c r="AO22" s="1137"/>
      <c r="AP22" s="1137"/>
      <c r="AQ22" s="1137"/>
      <c r="AR22" s="1137"/>
      <c r="AS22" s="1786">
        <v>0</v>
      </c>
    </row>
    <row customHeight="1" ht="14.25" hidden="1">
      <c r="O23" s="1990"/>
      <c r="AS23" s="1781">
        <v>0</v>
      </c>
    </row>
    <row customHeight="1" ht="14.25" hidden="1">
      <c r="O24" s="1990"/>
      <c r="AS24" s="1781">
        <v>0</v>
      </c>
    </row>
    <row customHeight="1" ht="14.699999999999998">
      <c r="Q25" s="1002"/>
      <c r="R25" s="1002"/>
      <c r="S25" s="1901"/>
      <c r="T25" s="989"/>
      <c r="U25" s="989"/>
      <c r="V25" s="1135"/>
      <c r="W25" s="1135"/>
      <c r="X25" s="1135"/>
      <c r="Y25" s="1135"/>
      <c r="Z25" s="1135"/>
      <c r="AA25" s="1135"/>
      <c r="AB25" s="1135"/>
      <c r="AC25" s="1135"/>
      <c r="AD25" s="1135"/>
      <c r="AE25" s="1135"/>
      <c r="AF25" s="1135"/>
      <c r="AG25" s="1135"/>
      <c r="AH25" s="1135"/>
      <c r="AI25" s="1135"/>
      <c r="AJ25" s="1135"/>
      <c r="AK25" s="1135"/>
      <c r="AS25" s="1781">
        <v>14</v>
      </c>
    </row>
    <row customHeight="1" ht="53.54999999999999">
      <c r="Q26" s="1002"/>
      <c r="R26" s="1002"/>
      <c r="S26" s="28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4"/>
      <c r="U26" s="2874"/>
      <c r="V26" s="2874"/>
      <c r="W26" s="2874"/>
      <c r="X26" s="2874"/>
      <c r="Y26" s="2874"/>
      <c r="Z26" s="2874"/>
      <c r="AA26" s="2874"/>
      <c r="AB26" s="2874"/>
      <c r="AC26" s="2874"/>
      <c r="AD26" s="2874"/>
      <c r="AE26" s="2874"/>
      <c r="AF26" s="2874"/>
      <c r="AG26" s="2874"/>
      <c r="AH26" s="2874"/>
      <c r="AI26" s="2874"/>
      <c r="AJ26" s="2874"/>
      <c r="AK26" s="1869"/>
      <c r="AS26" s="1781">
        <v>51</v>
      </c>
    </row>
    <row customHeight="1" ht="14.699999999999998">
      <c r="Q27" s="1002"/>
      <c r="R27" s="1002"/>
      <c r="S27" s="2875" t="str">
        <f>IF(org=0,"Не определено",org)</f>
        <v>АО "ДГК"</v>
      </c>
      <c r="T27" s="2875"/>
      <c r="U27" s="2875"/>
      <c r="V27" s="2875"/>
      <c r="W27" s="2875"/>
      <c r="X27" s="2875"/>
      <c r="Y27" s="2875"/>
      <c r="Z27" s="2875"/>
      <c r="AA27" s="2875"/>
      <c r="AB27" s="2875"/>
      <c r="AC27" s="2875"/>
      <c r="AD27" s="2875"/>
      <c r="AE27" s="2875"/>
      <c r="AF27" s="2875"/>
      <c r="AG27" s="2875"/>
      <c r="AH27" s="2875"/>
      <c r="AI27" s="2875"/>
      <c r="AJ27" s="2875"/>
      <c r="AK27" s="1869"/>
      <c r="AS27" s="1781">
        <v>14</v>
      </c>
    </row>
    <row customHeight="1" ht="14.25" hidden="1">
      <c r="Q28" s="1002"/>
      <c r="R28" s="1002"/>
      <c r="S28" s="1901"/>
      <c r="T28" s="989"/>
      <c r="U28" s="989"/>
      <c r="V28" s="948"/>
      <c r="W28" s="948"/>
      <c r="X28" s="948"/>
      <c r="Y28" s="948"/>
      <c r="Z28" s="948"/>
      <c r="AA28" s="948"/>
      <c r="AB28" s="948"/>
      <c r="AC28" s="948"/>
      <c r="AD28" s="948"/>
      <c r="AE28" s="948"/>
      <c r="AF28" s="948"/>
      <c r="AG28" s="948"/>
      <c r="AH28" s="948"/>
      <c r="AI28" s="948"/>
      <c r="AJ28" s="948"/>
      <c r="AK28" s="948"/>
      <c r="AL28" s="1135"/>
      <c r="AS28" s="1781">
        <v>0</v>
      </c>
    </row>
    <row s="34794" customFormat="1" customHeight="1" ht="25.5" hidden="1">
      <c r="A29" s="1994"/>
      <c r="B29" s="1994"/>
      <c r="C29" s="1994"/>
      <c r="D29" s="1994"/>
      <c r="E29" s="1994"/>
      <c r="F29" s="1994"/>
      <c r="G29" s="1994"/>
      <c r="H29" s="1994"/>
      <c r="I29" s="1994"/>
      <c r="J29" s="1994"/>
      <c r="K29" s="1994"/>
      <c r="L29" s="1995"/>
      <c r="M29" s="1994"/>
      <c r="N29" s="1994"/>
      <c r="O29" s="1994"/>
      <c r="S29" s="2876" t="s">
        <v>42</v>
      </c>
      <c r="T29" s="2876"/>
      <c r="U29" s="1998"/>
      <c r="V29" s="2877" t="str">
        <f>IF(TITLE_NAME_OR_PR_CHANGE="",IF(TITLE_NAME_OR_PR="","",TITLE_NAME_OR_PR),TITLE_NAME_OR_PR_CHANGE)</f>
        <v/>
      </c>
      <c r="W29" s="2877"/>
      <c r="X29" s="2877"/>
      <c r="Y29" s="2877"/>
      <c r="Z29" s="2877"/>
      <c r="AA29" s="2877"/>
      <c r="AB29" s="2877"/>
      <c r="AC29" s="952"/>
      <c r="AD29" s="2877" t="str">
        <f>IF(TITLE_NAME_OR_PR_CHANGE="",IF(TITLE_NAME_OR_PR="","",TITLE_NAME_OR_PR),TITLE_NAME_OR_PR_CHANGE)</f>
        <v/>
      </c>
      <c r="AE29" s="2877"/>
      <c r="AF29" s="2877"/>
      <c r="AG29" s="2877"/>
      <c r="AH29" s="2877"/>
      <c r="AI29" s="2877"/>
      <c r="AJ29" s="2877"/>
      <c r="AK29" s="952"/>
      <c r="AL29" s="952"/>
      <c r="AM29" s="906"/>
      <c r="AN29" s="994"/>
      <c r="AO29" s="994"/>
      <c r="AP29" s="994"/>
      <c r="AQ29" s="994"/>
      <c r="AR29" s="994"/>
      <c r="AS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441</v>
      </c>
      <c r="T30" s="2876"/>
      <c r="U30" s="1998"/>
      <c r="V30" s="2890" t="str">
        <f>IF(TITLE_DATE_PR_CHANGE="",IF(TITLE_DATE_PR="","",TITLE_DATE_PR),TITLE_DATE_PR_CHANGE)</f>
        <v/>
      </c>
      <c r="W30" s="2890"/>
      <c r="X30" s="2890"/>
      <c r="Y30" s="2890"/>
      <c r="Z30" s="2890"/>
      <c r="AA30" s="2890"/>
      <c r="AB30" s="2890"/>
      <c r="AC30" s="952"/>
      <c r="AD30" s="2890" t="str">
        <f>IF(TITLE_DATE_PR_CHANGE="",IF(TITLE_DATE_PR="","",TITLE_DATE_PR),TITLE_DATE_PR_CHANGE)</f>
        <v/>
      </c>
      <c r="AE30" s="2890"/>
      <c r="AF30" s="2890"/>
      <c r="AG30" s="2890"/>
      <c r="AH30" s="2890"/>
      <c r="AI30" s="2890"/>
      <c r="AJ30" s="2890"/>
      <c r="AK30" s="952"/>
      <c r="AL30" s="952"/>
      <c r="AM30" s="906"/>
      <c r="AN30" s="994"/>
      <c r="AO30" s="994"/>
      <c r="AP30" s="994"/>
      <c r="AQ30" s="994"/>
      <c r="AR30" s="994"/>
      <c r="AS30" s="1044">
        <v>0</v>
      </c>
    </row>
    <row s="34794" customFormat="1" customHeight="1" ht="18.75" hidden="1">
      <c r="A31" s="1994"/>
      <c r="B31" s="1994"/>
      <c r="C31" s="1994"/>
      <c r="D31" s="1994"/>
      <c r="E31" s="1994"/>
      <c r="F31" s="1994"/>
      <c r="G31" s="1994"/>
      <c r="H31" s="1994"/>
      <c r="I31" s="1994"/>
      <c r="J31" s="1994"/>
      <c r="K31" s="1994"/>
      <c r="L31" s="1995"/>
      <c r="M31" s="1994"/>
      <c r="N31" s="1994"/>
      <c r="O31" s="1994"/>
      <c r="S31" s="2876" t="s">
        <v>442</v>
      </c>
      <c r="T31" s="2876"/>
      <c r="U31" s="1998"/>
      <c r="V31" s="2877" t="str">
        <f>IF(TITLE_NUMBER_PR_CHANGE="",IF(TITLE_NUMBER_PR="","",TITLE_NUMBER_PR),TITLE_NUMBER_PR_CHANGE)</f>
        <v/>
      </c>
      <c r="W31" s="2877"/>
      <c r="X31" s="2877"/>
      <c r="Y31" s="2877"/>
      <c r="Z31" s="2877"/>
      <c r="AA31" s="2877"/>
      <c r="AB31" s="2877"/>
      <c r="AC31" s="952"/>
      <c r="AD31" s="2877" t="str">
        <f>IF(TITLE_NUMBER_PR_CHANGE="",IF(TITLE_NUMBER_PR="","",TITLE_NUMBER_PR),TITLE_NUMBER_PR_CHANGE)</f>
        <v/>
      </c>
      <c r="AE31" s="2877"/>
      <c r="AF31" s="2877"/>
      <c r="AG31" s="2877"/>
      <c r="AH31" s="2877"/>
      <c r="AI31" s="2877"/>
      <c r="AJ31" s="2877"/>
      <c r="AK31" s="952"/>
      <c r="AL31" s="952"/>
      <c r="AM31" s="906"/>
      <c r="AN31" s="994"/>
      <c r="AO31" s="994"/>
      <c r="AP31" s="994"/>
      <c r="AQ31" s="994"/>
      <c r="AR31" s="994"/>
      <c r="AS31" s="1044">
        <v>0</v>
      </c>
    </row>
    <row s="34794" customFormat="1" customHeight="1" ht="18.75" hidden="1">
      <c r="A32" s="1994"/>
      <c r="B32" s="1994"/>
      <c r="C32" s="1994"/>
      <c r="D32" s="1994"/>
      <c r="E32" s="1994"/>
      <c r="F32" s="1994"/>
      <c r="G32" s="1994"/>
      <c r="H32" s="1994"/>
      <c r="I32" s="1994"/>
      <c r="J32" s="1994"/>
      <c r="K32" s="1994"/>
      <c r="L32" s="1995"/>
      <c r="M32" s="1994"/>
      <c r="N32" s="1994"/>
      <c r="O32" s="1994"/>
      <c r="S32" s="2876" t="s">
        <v>43</v>
      </c>
      <c r="T32" s="2876"/>
      <c r="U32" s="1998"/>
      <c r="V32" s="2877" t="str">
        <f>IF(TITLE_IST_PUB_CHANGE="",IF(TITLE_IST_PUB="","",TITLE_IST_PUB),TITLE_IST_PUB_CHANGE)</f>
        <v/>
      </c>
      <c r="W32" s="2877"/>
      <c r="X32" s="2877"/>
      <c r="Y32" s="2877"/>
      <c r="Z32" s="2877"/>
      <c r="AA32" s="2877"/>
      <c r="AB32" s="2877"/>
      <c r="AC32" s="952"/>
      <c r="AD32" s="2877" t="str">
        <f>IF(TITLE_IST_PUB_CHANGE="",IF(TITLE_IST_PUB="","",TITLE_IST_PUB),TITLE_IST_PUB_CHANGE)</f>
        <v/>
      </c>
      <c r="AE32" s="2877"/>
      <c r="AF32" s="2877"/>
      <c r="AG32" s="2877"/>
      <c r="AH32" s="2877"/>
      <c r="AI32" s="2877"/>
      <c r="AJ32" s="2877"/>
      <c r="AK32" s="952"/>
      <c r="AL32" s="952"/>
      <c r="AM32" s="906"/>
      <c r="AN32" s="994"/>
      <c r="AO32" s="994"/>
      <c r="AP32" s="994"/>
      <c r="AQ32" s="994"/>
      <c r="AR32" s="994"/>
      <c r="AS32" s="1044">
        <v>0</v>
      </c>
    </row>
    <row customHeight="1" ht="14.25" hidden="1">
      <c r="Q33" s="1002"/>
      <c r="R33" s="1002"/>
      <c r="S33" s="1901"/>
      <c r="T33" s="989"/>
      <c r="U33" s="989"/>
      <c r="V33" s="948"/>
      <c r="W33" s="948"/>
      <c r="X33" s="948"/>
      <c r="Y33" s="948"/>
      <c r="Z33" s="948"/>
      <c r="AA33" s="948"/>
      <c r="AB33" s="948"/>
      <c r="AC33" s="948"/>
      <c r="AD33" s="948"/>
      <c r="AE33" s="948"/>
      <c r="AF33" s="948"/>
      <c r="AG33" s="948"/>
      <c r="AH33" s="948"/>
      <c r="AI33" s="948"/>
      <c r="AJ33" s="948"/>
      <c r="AK33" s="948"/>
      <c r="AL33" s="1135"/>
      <c r="AS33" s="1781">
        <v>0</v>
      </c>
    </row>
    <row s="34794" customFormat="1" customHeight="1" ht="18.75" hidden="1">
      <c r="A34" s="1994"/>
      <c r="B34" s="1994"/>
      <c r="C34" s="1994"/>
      <c r="D34" s="1994"/>
      <c r="E34" s="1994"/>
      <c r="F34" s="1994"/>
      <c r="G34" s="1994"/>
      <c r="H34" s="1994"/>
      <c r="I34" s="1994"/>
      <c r="J34" s="1994"/>
      <c r="K34" s="1994"/>
      <c r="L34" s="1995"/>
      <c r="M34" s="1994"/>
      <c r="N34" s="1994"/>
      <c r="O34" s="1994"/>
      <c r="S34" s="2876" t="s">
        <v>443</v>
      </c>
      <c r="T34" s="2876"/>
      <c r="U34" s="1998"/>
      <c r="V34" s="2890" t="str">
        <f>IF(TITLE_DATE_PR_CHANGE="",IF(TITLE_DATE_PR="","",TITLE_DATE_PR),TITLE_DATE_PR_CHANGE)</f>
        <v/>
      </c>
      <c r="W34" s="2890"/>
      <c r="X34" s="2890"/>
      <c r="Y34" s="2890"/>
      <c r="Z34" s="2890"/>
      <c r="AA34" s="2890"/>
      <c r="AB34" s="2890"/>
      <c r="AC34" s="952"/>
      <c r="AD34" s="2890" t="str">
        <f>IF(TITLE_DATE_PR_CHANGE="",IF(TITLE_DATE_PR="","",TITLE_DATE_PR),TITLE_DATE_PR_CHANGE)</f>
        <v/>
      </c>
      <c r="AE34" s="2890"/>
      <c r="AF34" s="2890"/>
      <c r="AG34" s="2890"/>
      <c r="AH34" s="2890"/>
      <c r="AI34" s="2890"/>
      <c r="AJ34" s="2890"/>
      <c r="AK34" s="952"/>
      <c r="AL34" s="952"/>
      <c r="AM34" s="906"/>
      <c r="AN34" s="994"/>
      <c r="AO34" s="994"/>
      <c r="AP34" s="994"/>
      <c r="AQ34" s="994"/>
      <c r="AR34" s="994"/>
      <c r="AS34" s="1044">
        <v>0</v>
      </c>
    </row>
    <row s="34794" customFormat="1" customHeight="1" ht="25.5" hidden="1">
      <c r="A35" s="1994"/>
      <c r="B35" s="1994"/>
      <c r="C35" s="1994"/>
      <c r="D35" s="1994"/>
      <c r="E35" s="1994"/>
      <c r="F35" s="1994"/>
      <c r="G35" s="1994"/>
      <c r="H35" s="1994"/>
      <c r="I35" s="1994"/>
      <c r="J35" s="1994"/>
      <c r="K35" s="1994"/>
      <c r="L35" s="1995"/>
      <c r="M35" s="1994"/>
      <c r="N35" s="1994"/>
      <c r="O35" s="1994"/>
      <c r="S35" s="2876" t="s">
        <v>444</v>
      </c>
      <c r="T35" s="2876"/>
      <c r="U35" s="1998"/>
      <c r="V35" s="2877" t="str">
        <f>IF(TITLE_NUMBER_PR_CHANGE="",IF(TITLE_NUMBER_PR="","",TITLE_NUMBER_PR),TITLE_NUMBER_PR_CHANGE)</f>
        <v/>
      </c>
      <c r="W35" s="2877"/>
      <c r="X35" s="2877"/>
      <c r="Y35" s="2877"/>
      <c r="Z35" s="2877"/>
      <c r="AA35" s="2877"/>
      <c r="AB35" s="2877"/>
      <c r="AC35" s="952"/>
      <c r="AD35" s="2877" t="str">
        <f>IF(TITLE_NUMBER_PR_CHANGE="",IF(TITLE_NUMBER_PR="","",TITLE_NUMBER_PR),TITLE_NUMBER_PR_CHANGE)</f>
        <v/>
      </c>
      <c r="AE35" s="2877"/>
      <c r="AF35" s="2877"/>
      <c r="AG35" s="2877"/>
      <c r="AH35" s="2877"/>
      <c r="AI35" s="2877"/>
      <c r="AJ35" s="2877"/>
      <c r="AK35" s="952"/>
      <c r="AL35" s="952"/>
      <c r="AM35" s="906"/>
      <c r="AN35" s="994"/>
      <c r="AO35" s="994"/>
      <c r="AP35" s="994"/>
      <c r="AQ35" s="994"/>
      <c r="AR35" s="994"/>
      <c r="AS35" s="1044">
        <v>0</v>
      </c>
    </row>
    <row s="34794" customFormat="1" customHeight="1" ht="0">
      <c r="A36" s="1994"/>
      <c r="B36" s="1994"/>
      <c r="C36" s="1994"/>
      <c r="D36" s="1994"/>
      <c r="E36" s="1994"/>
      <c r="F36" s="1994"/>
      <c r="G36" s="1994"/>
      <c r="H36" s="1994"/>
      <c r="I36" s="1994"/>
      <c r="J36" s="1994"/>
      <c r="K36" s="1994"/>
      <c r="L36" s="1995"/>
      <c r="M36" s="1994"/>
      <c r="N36" s="1994"/>
      <c r="O36" s="1994"/>
      <c r="S36" s="949"/>
      <c r="T36" s="949"/>
      <c r="U36" s="1966"/>
      <c r="V36" s="952"/>
      <c r="W36" s="952"/>
      <c r="X36" s="952"/>
      <c r="Y36" s="952"/>
      <c r="Z36" s="952"/>
      <c r="AA36" s="952"/>
      <c r="AB36" s="952"/>
      <c r="AC36" s="904" t="s">
        <v>445</v>
      </c>
      <c r="AD36" s="952"/>
      <c r="AE36" s="952"/>
      <c r="AF36" s="952"/>
      <c r="AG36" s="952"/>
      <c r="AH36" s="952"/>
      <c r="AI36" s="952"/>
      <c r="AJ36" s="952"/>
      <c r="AK36" s="904" t="s">
        <v>445</v>
      </c>
      <c r="AN36" s="994"/>
      <c r="AO36" s="994"/>
      <c r="AP36" s="994"/>
      <c r="AQ36" s="994"/>
      <c r="AR36" s="994"/>
      <c r="AS36" s="1044">
        <v>0</v>
      </c>
    </row>
    <row customHeight="1" ht="14.699999999999998">
      <c r="Q37" s="1002"/>
      <c r="R37" s="1002"/>
      <c r="S37" s="1901"/>
      <c r="T37" s="989"/>
      <c r="U37" s="1870"/>
      <c r="V37" s="2878"/>
      <c r="W37" s="2878"/>
      <c r="X37" s="2878"/>
      <c r="Y37" s="2878"/>
      <c r="Z37" s="2878"/>
      <c r="AA37" s="2878"/>
      <c r="AB37" s="2878"/>
      <c r="AC37" s="2878"/>
      <c r="AD37" s="2878"/>
      <c r="AE37" s="2878"/>
      <c r="AF37" s="2878"/>
      <c r="AG37" s="2878"/>
      <c r="AH37" s="2878"/>
      <c r="AI37" s="2878"/>
      <c r="AJ37" s="2878"/>
      <c r="AK37" s="2878"/>
      <c r="AS37" s="1781">
        <v>14</v>
      </c>
    </row>
    <row customHeight="1" ht="14.699999999999998">
      <c r="Q38" s="1002"/>
      <c r="R38" s="1002"/>
      <c r="S38" s="2753" t="s">
        <v>318</v>
      </c>
      <c r="T38" s="2753"/>
      <c r="U38" s="2753"/>
      <c r="V38" s="2753"/>
      <c r="W38" s="2753"/>
      <c r="X38" s="2753"/>
      <c r="Y38" s="2753"/>
      <c r="Z38" s="2753"/>
      <c r="AA38" s="2753"/>
      <c r="AB38" s="2753"/>
      <c r="AC38" s="2753"/>
      <c r="AD38" s="2753"/>
      <c r="AE38" s="2753"/>
      <c r="AF38" s="2753"/>
      <c r="AG38" s="2753"/>
      <c r="AH38" s="2753"/>
      <c r="AI38" s="2753"/>
      <c r="AJ38" s="2753"/>
      <c r="AK38" s="2753"/>
      <c r="AL38" s="2753"/>
      <c r="AM38" s="2753" t="s">
        <v>319</v>
      </c>
      <c r="AS38" s="1781">
        <v>14</v>
      </c>
    </row>
    <row customHeight="1" ht="14.699999999999998">
      <c r="Q39" s="1002"/>
      <c r="R39" s="1002"/>
      <c r="S39" s="2899" t="s">
        <v>88</v>
      </c>
      <c r="T39" s="2835" t="s">
        <v>446</v>
      </c>
      <c r="U39" s="927"/>
      <c r="V39" s="2900" t="s">
        <v>447</v>
      </c>
      <c r="W39" s="2901"/>
      <c r="X39" s="2901"/>
      <c r="Y39" s="2901"/>
      <c r="Z39" s="2901"/>
      <c r="AA39" s="2901"/>
      <c r="AB39" s="2902"/>
      <c r="AC39" s="2903" t="s">
        <v>448</v>
      </c>
      <c r="AD39" s="2900" t="s">
        <v>447</v>
      </c>
      <c r="AE39" s="2901"/>
      <c r="AF39" s="2901"/>
      <c r="AG39" s="2901"/>
      <c r="AH39" s="2901"/>
      <c r="AI39" s="2901"/>
      <c r="AJ39" s="2902"/>
      <c r="AK39" s="2903" t="s">
        <v>449</v>
      </c>
      <c r="AL39" s="2906" t="s">
        <v>450</v>
      </c>
      <c r="AM39" s="2753"/>
      <c r="AS39" s="1781">
        <v>14</v>
      </c>
    </row>
    <row customHeight="1" ht="35.699999999999996">
      <c r="Q40" s="1002"/>
      <c r="R40" s="1002"/>
      <c r="S40" s="2899"/>
      <c r="T40" s="2835"/>
      <c r="U40" s="1657"/>
      <c r="V40" s="2886" t="s">
        <v>451</v>
      </c>
      <c r="W40" s="2909"/>
      <c r="X40" s="2888" t="s">
        <v>453</v>
      </c>
      <c r="Y40" s="2889"/>
      <c r="Z40" s="2888" t="s">
        <v>454</v>
      </c>
      <c r="AA40" s="2895"/>
      <c r="AB40" s="2889"/>
      <c r="AC40" s="2904"/>
      <c r="AD40" s="2886" t="s">
        <v>468</v>
      </c>
      <c r="AE40" s="2909"/>
      <c r="AF40" s="2888" t="s">
        <v>453</v>
      </c>
      <c r="AG40" s="2889"/>
      <c r="AH40" s="2888" t="s">
        <v>454</v>
      </c>
      <c r="AI40" s="2895"/>
      <c r="AJ40" s="2889"/>
      <c r="AK40" s="2904"/>
      <c r="AL40" s="2907"/>
      <c r="AM40" s="2753"/>
      <c r="AS40" s="1781">
        <v>34</v>
      </c>
    </row>
    <row customHeight="1" ht="35.699999999999996">
      <c r="A41" s="1996"/>
      <c r="B41" s="1996" t="s">
        <v>155</v>
      </c>
      <c r="C41" s="1996" t="s">
        <v>156</v>
      </c>
      <c r="D41" s="1996" t="s">
        <v>157</v>
      </c>
      <c r="E41" s="1990" t="s">
        <v>455</v>
      </c>
      <c r="F41" s="1990" t="s">
        <v>456</v>
      </c>
      <c r="G41" s="1990" t="s">
        <v>457</v>
      </c>
      <c r="H41" s="1990" t="s">
        <v>458</v>
      </c>
      <c r="I41" s="1990" t="s">
        <v>459</v>
      </c>
      <c r="J41" s="1990" t="s">
        <v>460</v>
      </c>
      <c r="K41" s="1990" t="s">
        <v>461</v>
      </c>
      <c r="L41" s="1990" t="s">
        <v>436</v>
      </c>
      <c r="Q41" s="1002"/>
      <c r="R41" s="1002"/>
      <c r="S41" s="2899"/>
      <c r="T41" s="2835"/>
      <c r="U41" s="928"/>
      <c r="V41" s="2887"/>
      <c r="W41" s="2910"/>
      <c r="X41" s="1848" t="s">
        <v>462</v>
      </c>
      <c r="Y41" s="1848" t="s">
        <v>463</v>
      </c>
      <c r="Z41" s="1964" t="s">
        <v>464</v>
      </c>
      <c r="AA41" s="2896" t="s">
        <v>465</v>
      </c>
      <c r="AB41" s="2897"/>
      <c r="AC41" s="2905"/>
      <c r="AD41" s="2887"/>
      <c r="AE41" s="2910"/>
      <c r="AF41" s="1848" t="s">
        <v>462</v>
      </c>
      <c r="AG41" s="1848" t="s">
        <v>463</v>
      </c>
      <c r="AH41" s="1964" t="s">
        <v>464</v>
      </c>
      <c r="AI41" s="2896" t="s">
        <v>465</v>
      </c>
      <c r="AJ41" s="2897"/>
      <c r="AK41" s="2905"/>
      <c r="AL41" s="2908"/>
      <c r="AM41" s="2753"/>
      <c r="AS41" s="1781">
        <v>34</v>
      </c>
    </row>
    <row s="35197" customFormat="1" customHeight="1" ht="11.25" hidden="1">
      <c r="A42" s="1996"/>
      <c r="B42" s="1996"/>
      <c r="C42" s="1996"/>
      <c r="D42" s="1996"/>
      <c r="E42" s="1996"/>
      <c r="F42" s="1996"/>
      <c r="G42" s="1996"/>
      <c r="H42" s="1996"/>
      <c r="I42" s="1996"/>
      <c r="J42" s="1996"/>
      <c r="K42" s="1996"/>
      <c r="L42" s="1990"/>
      <c r="M42" s="1988"/>
      <c r="N42" s="1988"/>
      <c r="O42" s="1988"/>
      <c r="P42" s="1872"/>
      <c r="Q42" s="1873"/>
      <c r="R42" s="1880">
        <v>1</v>
      </c>
      <c r="S42" s="1903" t="s">
        <v>118</v>
      </c>
      <c r="T42" s="1881" t="s">
        <v>102</v>
      </c>
      <c r="U42" s="1871" t="str">
        <f>OFFSET(U42,0,-1)</f>
        <v>2</v>
      </c>
      <c r="V42" s="1961">
        <f>OFFSET(V42,0,-1)+1</f>
        <v>3</v>
      </c>
      <c r="W42" s="1961"/>
      <c r="X42" s="1961">
        <f>OFFSET(X42,0,-1)+1</f>
        <v>1</v>
      </c>
      <c r="Y42" s="1961">
        <f>OFFSET(Y42,0,-1)+1</f>
        <v>2</v>
      </c>
      <c r="Z42" s="1961">
        <f>OFFSET(Z42,0,-1)+1</f>
        <v>3</v>
      </c>
      <c r="AA42" s="2898">
        <f>OFFSET(AA42,0,-1)+1</f>
        <v>4</v>
      </c>
      <c r="AB42" s="2898"/>
      <c r="AC42" s="1961">
        <f>OFFSET(AC42,0,-2)+1</f>
        <v>5</v>
      </c>
      <c r="AD42" s="1961">
        <f>OFFSET(AD42,0,-1)+1</f>
        <v>6</v>
      </c>
      <c r="AE42" s="1961"/>
      <c r="AF42" s="1961">
        <f>OFFSET(AF42,0,-1)+1</f>
        <v>1</v>
      </c>
      <c r="AG42" s="1961">
        <f>OFFSET(AG42,0,-1)+1</f>
        <v>2</v>
      </c>
      <c r="AH42" s="1961">
        <f>OFFSET(AH42,0,-1)+1</f>
        <v>3</v>
      </c>
      <c r="AI42" s="2898">
        <f>OFFSET(AI42,0,-1)+1</f>
        <v>4</v>
      </c>
      <c r="AJ42" s="2898"/>
      <c r="AK42" s="1961">
        <f>OFFSET(AK42,0,-2)+1</f>
        <v>5</v>
      </c>
      <c r="AL42" s="1871">
        <f>OFFSET(AL42,0,-1)</f>
        <v>5</v>
      </c>
      <c r="AM42" s="1961">
        <f>OFFSET(AM42,0,-1)+1</f>
        <v>6</v>
      </c>
      <c r="AN42" s="1137"/>
      <c r="AO42" s="1137"/>
      <c r="AP42" s="1137"/>
      <c r="AQ42" s="1137"/>
      <c r="AR42" s="1137"/>
      <c r="AS42" s="1122">
        <v>0</v>
      </c>
    </row>
    <row customHeight="1" ht="22.049999999999997">
      <c r="A43" s="1989" t="s">
        <v>206</v>
      </c>
      <c r="B43" s="1989"/>
      <c r="C43" s="1989"/>
      <c r="D43" s="1989"/>
      <c r="E43" s="2884">
        <v>1</v>
      </c>
      <c r="F43" s="1989"/>
      <c r="G43" s="1989"/>
      <c r="H43" s="1989"/>
      <c r="I43" s="1989"/>
      <c r="J43" s="1989"/>
      <c r="K43" s="1989"/>
      <c r="L43" s="1990"/>
      <c r="M43" s="1991"/>
      <c r="N43" s="1991"/>
      <c r="O43" s="1991"/>
      <c r="P43" s="987"/>
      <c r="Q43" s="986"/>
      <c r="R43" s="981"/>
      <c r="S43" s="1962">
        <f>INDEX(PT_DIFFERENTIATION_NUM_NTAR,MATCH(A43,PT_DIFFERENTIATION_NTAR_ID,0))</f>
        <v>0</v>
      </c>
      <c r="T43" s="924" t="s">
        <v>143</v>
      </c>
      <c r="U43" s="926"/>
      <c r="V43" s="2868"/>
      <c r="W43" s="2869"/>
      <c r="X43" s="2869"/>
      <c r="Y43" s="2869"/>
      <c r="Z43" s="2869"/>
      <c r="AA43" s="2869"/>
      <c r="AB43" s="2869"/>
      <c r="AC43" s="2870"/>
      <c r="AD43" s="2868" t="str">
        <f>INDEX(PT_DIFFERENTIATION_NTAR,MATCH(A43,PT_DIFFERENTIATION_NTAR_ID,0))</f>
        <v/>
      </c>
      <c r="AE43" s="2869"/>
      <c r="AF43" s="2869"/>
      <c r="AG43" s="2869"/>
      <c r="AH43" s="2869"/>
      <c r="AI43" s="2869"/>
      <c r="AJ43" s="2869"/>
      <c r="AK43" s="2869"/>
      <c r="AL43" s="2870"/>
      <c r="AM43" s="18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26"/>
      <c r="AP43" s="1126" t="str">
        <f>IF(T43="","",T43)</f>
        <v>Наименование тарифа</v>
      </c>
      <c r="AQ43" s="1126"/>
      <c r="AR43" s="1126"/>
      <c r="AS43" s="1781">
        <v>21</v>
      </c>
    </row>
    <row customHeight="1" ht="22.049999999999997">
      <c r="A44" s="1989" t="s">
        <v>206</v>
      </c>
      <c r="B44" s="1989" t="s">
        <v>207</v>
      </c>
      <c r="C44" s="1989"/>
      <c r="D44" s="1989"/>
      <c r="E44" s="2885"/>
      <c r="F44" s="2884">
        <v>1</v>
      </c>
      <c r="G44" s="1989"/>
      <c r="H44" s="1989"/>
      <c r="I44" s="1989"/>
      <c r="J44" s="1989"/>
      <c r="K44" s="1989"/>
      <c r="L44" s="1990"/>
      <c r="M44" s="1991"/>
      <c r="N44" s="1991"/>
      <c r="O44" s="1991"/>
      <c r="P44" s="1958"/>
      <c r="Q44" s="978"/>
      <c r="R44" s="979"/>
      <c r="S44" s="1962" t="str">
        <f>INDEX(PT_DIFFERENTIATION_NUM_TER,MATCH(B44,PT_DIFFERENTIATION_TER_ID,0))</f>
        <v>.</v>
      </c>
      <c r="T44" s="934" t="s">
        <v>415</v>
      </c>
      <c r="U44" s="926"/>
      <c r="V44" s="2868"/>
      <c r="W44" s="2869"/>
      <c r="X44" s="2869"/>
      <c r="Y44" s="2869"/>
      <c r="Z44" s="2869"/>
      <c r="AA44" s="2869"/>
      <c r="AB44" s="2869"/>
      <c r="AC44" s="2870"/>
      <c r="AD44" s="2868" t="str">
        <f>INDEX(PT_DIFFERENTIATION_TER,MATCH(B44,PT_DIFFERENTIATION_TER_ID,0))</f>
        <v/>
      </c>
      <c r="AE44" s="2869"/>
      <c r="AF44" s="2869"/>
      <c r="AG44" s="2869"/>
      <c r="AH44" s="2869"/>
      <c r="AI44" s="2869"/>
      <c r="AJ44" s="2869"/>
      <c r="AK44" s="2869"/>
      <c r="AL44" s="2870"/>
      <c r="AM44" s="1884" t="s">
        <v>416</v>
      </c>
      <c r="AO44" s="1126"/>
      <c r="AP44" s="1126" t="str">
        <f>IF(T44="","",T44)</f>
        <v>Территория действия тарифа</v>
      </c>
      <c r="AQ44" s="1126"/>
      <c r="AR44" s="1126"/>
      <c r="AS44" s="1781">
        <v>21</v>
      </c>
    </row>
    <row customHeight="1" ht="24">
      <c r="A45" s="1989" t="s">
        <v>206</v>
      </c>
      <c r="B45" s="1989" t="s">
        <v>207</v>
      </c>
      <c r="C45" s="1989" t="s">
        <v>208</v>
      </c>
      <c r="D45" s="1989"/>
      <c r="E45" s="2885"/>
      <c r="F45" s="2885"/>
      <c r="G45" s="2884">
        <v>1</v>
      </c>
      <c r="H45" s="1989"/>
      <c r="I45" s="1989"/>
      <c r="J45" s="1989"/>
      <c r="K45" s="1989"/>
      <c r="L45" s="1990"/>
      <c r="M45" s="1991"/>
      <c r="N45" s="1991"/>
      <c r="O45" s="1991"/>
      <c r="P45" s="980"/>
      <c r="Q45" s="978"/>
      <c r="R45" s="979"/>
      <c r="S45" s="1962" t="str">
        <f>INDEX(PT_DIFFERENTIATION_NUM_CS,MATCH(C45,PT_DIFFERENTIATION_CS_ID,0))</f>
        <v>..</v>
      </c>
      <c r="T45" s="935" t="s">
        <v>417</v>
      </c>
      <c r="U45" s="926"/>
      <c r="V45" s="2868"/>
      <c r="W45" s="2869"/>
      <c r="X45" s="2869"/>
      <c r="Y45" s="2869"/>
      <c r="Z45" s="2869"/>
      <c r="AA45" s="2869"/>
      <c r="AB45" s="2869"/>
      <c r="AC45" s="2870"/>
      <c r="AD45" s="2868" t="str">
        <f>INDEX(PT_DIFFERENTIATION_CS,MATCH(C45,PT_DIFFERENTIATION_CS_ID,0))</f>
        <v/>
      </c>
      <c r="AE45" s="2869"/>
      <c r="AF45" s="2869"/>
      <c r="AG45" s="2869"/>
      <c r="AH45" s="2869"/>
      <c r="AI45" s="2869"/>
      <c r="AJ45" s="2869"/>
      <c r="AK45" s="2869"/>
      <c r="AL45" s="2870"/>
      <c r="AM45" s="1884" t="s">
        <v>418</v>
      </c>
      <c r="AO45" s="1126"/>
      <c r="AP45" s="1126" t="str">
        <f>IF(T45="","",T45)</f>
        <v>Наименование системы теплоснабжения </v>
      </c>
      <c r="AQ45" s="1126"/>
      <c r="AR45" s="1126"/>
      <c r="AS45" s="1781">
        <v>23</v>
      </c>
    </row>
    <row customHeight="1" ht="22.049999999999997">
      <c r="A46" s="1989" t="s">
        <v>206</v>
      </c>
      <c r="B46" s="1989" t="s">
        <v>207</v>
      </c>
      <c r="C46" s="1989" t="s">
        <v>208</v>
      </c>
      <c r="D46" s="1989" t="s">
        <v>209</v>
      </c>
      <c r="E46" s="2885"/>
      <c r="F46" s="2885"/>
      <c r="G46" s="2885"/>
      <c r="H46" s="2884">
        <v>1</v>
      </c>
      <c r="I46" s="1989"/>
      <c r="J46" s="1989"/>
      <c r="K46" s="1989"/>
      <c r="L46" s="1990"/>
      <c r="M46" s="1991"/>
      <c r="N46" s="1991"/>
      <c r="O46" s="1991"/>
      <c r="P46" s="980"/>
      <c r="Q46" s="978"/>
      <c r="R46" s="979"/>
      <c r="S46" s="1962" t="str">
        <f>INDEX(PT_DIFFERENTIATION_NUM_IST_TE,MATCH(D46,PT_DIFFERENTIATION_IST_TE_ID,0))</f>
        <v>...</v>
      </c>
      <c r="T46" s="936" t="s">
        <v>419</v>
      </c>
      <c r="U46" s="926"/>
      <c r="V46" s="2868"/>
      <c r="W46" s="2869"/>
      <c r="X46" s="2869"/>
      <c r="Y46" s="2869"/>
      <c r="Z46" s="2869"/>
      <c r="AA46" s="2869"/>
      <c r="AB46" s="2869"/>
      <c r="AC46" s="2870"/>
      <c r="AD46" s="2868" t="str">
        <f>INDEX(PT_DIFFERENTIATION_IST_TE,MATCH(D46,PT_DIFFERENTIATION_IST_TE_ID,0))</f>
        <v/>
      </c>
      <c r="AE46" s="2869"/>
      <c r="AF46" s="2869"/>
      <c r="AG46" s="2869"/>
      <c r="AH46" s="2869"/>
      <c r="AI46" s="2869"/>
      <c r="AJ46" s="2869"/>
      <c r="AK46" s="2869"/>
      <c r="AL46" s="2870"/>
      <c r="AM46" s="1884" t="s">
        <v>420</v>
      </c>
      <c r="AO46" s="1126"/>
      <c r="AP46" s="1126" t="str">
        <f>IF(T46="","",T46)</f>
        <v>Источник тепловой энергии  </v>
      </c>
      <c r="AQ46" s="1126"/>
      <c r="AR46" s="1126"/>
      <c r="AS46" s="1781">
        <v>21</v>
      </c>
    </row>
    <row s="34658" customFormat="1" customHeight="1" ht="0">
      <c r="A47" s="1969" t="s">
        <v>206</v>
      </c>
      <c r="B47" s="1969" t="s">
        <v>207</v>
      </c>
      <c r="C47" s="1969" t="s">
        <v>208</v>
      </c>
      <c r="D47" s="1969" t="s">
        <v>209</v>
      </c>
      <c r="E47" s="2885"/>
      <c r="F47" s="2885"/>
      <c r="G47" s="2885"/>
      <c r="H47" s="2885"/>
      <c r="I47" s="2882" t="str">
        <f>S46&amp;".1"</f>
        <v>....1</v>
      </c>
      <c r="J47" s="1969"/>
      <c r="K47" s="1969"/>
      <c r="L47" s="1972" t="s">
        <v>421</v>
      </c>
      <c r="M47" s="1136"/>
      <c r="N47" s="1136"/>
      <c r="O47" s="1136"/>
      <c r="P47" s="2883">
        <v>1</v>
      </c>
      <c r="Q47" s="1957"/>
      <c r="R47" s="982"/>
      <c r="S47" s="1668"/>
      <c r="T47" s="2009"/>
      <c r="U47" s="2010"/>
      <c r="V47" s="2922"/>
      <c r="W47" s="2923"/>
      <c r="X47" s="2923"/>
      <c r="Y47" s="2923"/>
      <c r="Z47" s="2923"/>
      <c r="AA47" s="2923"/>
      <c r="AB47" s="2923"/>
      <c r="AC47" s="2924"/>
      <c r="AD47" s="2922"/>
      <c r="AE47" s="2923"/>
      <c r="AF47" s="2923"/>
      <c r="AG47" s="2923"/>
      <c r="AH47" s="2923"/>
      <c r="AI47" s="2923"/>
      <c r="AJ47" s="2923"/>
      <c r="AK47" s="2923"/>
      <c r="AL47" s="2924"/>
      <c r="AM47" s="2011"/>
      <c r="AO47" s="1126"/>
      <c r="AP47" s="1126" t="str">
        <f>IF(T47="","",T47)</f>
        <v/>
      </c>
      <c r="AQ47" s="1126"/>
      <c r="AR47" s="1126"/>
      <c r="AS47" s="1137">
        <v>0</v>
      </c>
    </row>
    <row customHeight="1" ht="22.049999999999997">
      <c r="A48" s="1989" t="s">
        <v>206</v>
      </c>
      <c r="B48" s="1989" t="s">
        <v>207</v>
      </c>
      <c r="C48" s="1989" t="s">
        <v>208</v>
      </c>
      <c r="D48" s="1989" t="s">
        <v>209</v>
      </c>
      <c r="E48" s="2885"/>
      <c r="F48" s="2885"/>
      <c r="G48" s="2885"/>
      <c r="H48" s="2885"/>
      <c r="I48" s="2912"/>
      <c r="J48" s="2882" t="str">
        <f>S46&amp;".1"</f>
        <v>....1</v>
      </c>
      <c r="K48" s="1989"/>
      <c r="L48" s="1990" t="s">
        <v>424</v>
      </c>
      <c r="P48" s="2883"/>
      <c r="Q48" s="2883">
        <v>1</v>
      </c>
      <c r="R48" s="983"/>
      <c r="S48" s="1962" t="str">
        <f>$J48</f>
        <v>....1</v>
      </c>
      <c r="T48" s="912" t="s">
        <v>425</v>
      </c>
      <c r="U48" s="926"/>
      <c r="V48" s="2871"/>
      <c r="W48" s="2872"/>
      <c r="X48" s="2872"/>
      <c r="Y48" s="2872"/>
      <c r="Z48" s="2872"/>
      <c r="AA48" s="2872"/>
      <c r="AB48" s="2872"/>
      <c r="AC48" s="2873"/>
      <c r="AD48" s="2871"/>
      <c r="AE48" s="2872"/>
      <c r="AF48" s="2872"/>
      <c r="AG48" s="2872"/>
      <c r="AH48" s="2872"/>
      <c r="AI48" s="2872"/>
      <c r="AJ48" s="2872"/>
      <c r="AK48" s="2872"/>
      <c r="AL48" s="2873"/>
      <c r="AM48" s="1884" t="s">
        <v>426</v>
      </c>
      <c r="AO48" s="1126"/>
      <c r="AP48" s="1126" t="str">
        <f>IF(T48="","",T48)</f>
        <v>Группа потребителей</v>
      </c>
      <c r="AQ48" s="1126"/>
      <c r="AR48" s="1126"/>
      <c r="AS48" s="1781">
        <v>21</v>
      </c>
    </row>
    <row customHeight="1" ht="22.049999999999997">
      <c r="A49" s="1989" t="s">
        <v>206</v>
      </c>
      <c r="B49" s="1989" t="s">
        <v>207</v>
      </c>
      <c r="C49" s="1989" t="s">
        <v>208</v>
      </c>
      <c r="D49" s="1989" t="s">
        <v>209</v>
      </c>
      <c r="E49" s="2885"/>
      <c r="F49" s="2885"/>
      <c r="G49" s="2885"/>
      <c r="H49" s="2885"/>
      <c r="I49" s="2912"/>
      <c r="J49" s="2912"/>
      <c r="K49" s="2882" t="str">
        <f>J48&amp;".1"</f>
        <v>....1.1</v>
      </c>
      <c r="L49" s="1990" t="s">
        <v>427</v>
      </c>
      <c r="P49" s="2883"/>
      <c r="Q49" s="2883"/>
      <c r="R49" s="983">
        <v>1</v>
      </c>
      <c r="S49" s="1962" t="str">
        <f>$K49</f>
        <v>....1.1</v>
      </c>
      <c r="T49" s="1973"/>
      <c r="U49" s="926"/>
      <c r="V49" s="1377"/>
      <c r="W49" s="951"/>
      <c r="X49" s="1377"/>
      <c r="Y49" s="1883"/>
      <c r="Z49" s="2891"/>
      <c r="AA49" s="2733" t="s">
        <v>66</v>
      </c>
      <c r="AB49" s="2891"/>
      <c r="AC49" s="2733" t="s">
        <v>66</v>
      </c>
      <c r="AD49" s="1377"/>
      <c r="AE49" s="951"/>
      <c r="AF49" s="1377"/>
      <c r="AG49" s="1883"/>
      <c r="AH49" s="2891"/>
      <c r="AI49" s="2733" t="s">
        <v>66</v>
      </c>
      <c r="AJ49" s="2913"/>
      <c r="AK49" s="2733" t="s">
        <v>66</v>
      </c>
      <c r="AL49" s="1974"/>
      <c r="AM49" s="2879" t="s">
        <v>469</v>
      </c>
      <c r="AN49" s="1137">
        <f>STRCHECKDATE(V50:AL50)</f>
      </c>
      <c r="AO49" s="1126"/>
      <c r="AP49" s="1126" t="str">
        <f>IF(T49="","",T49)</f>
        <v/>
      </c>
      <c r="AQ49" s="1126"/>
      <c r="AR49" s="1126"/>
      <c r="AS49" s="1781">
        <v>21</v>
      </c>
    </row>
    <row customHeight="1" ht="0">
      <c r="A50" s="1989" t="s">
        <v>206</v>
      </c>
      <c r="B50" s="1989" t="s">
        <v>207</v>
      </c>
      <c r="C50" s="1989" t="s">
        <v>208</v>
      </c>
      <c r="D50" s="1989" t="s">
        <v>209</v>
      </c>
      <c r="E50" s="2885"/>
      <c r="F50" s="2885"/>
      <c r="G50" s="2885"/>
      <c r="H50" s="2885"/>
      <c r="I50" s="2912"/>
      <c r="J50" s="2912"/>
      <c r="K50" s="2882"/>
      <c r="L50" s="1990"/>
      <c r="P50" s="2883"/>
      <c r="Q50" s="2883"/>
      <c r="R50" s="983"/>
      <c r="S50" s="1968"/>
      <c r="T50" s="926"/>
      <c r="U50" s="926"/>
      <c r="V50" s="951"/>
      <c r="W50" s="951"/>
      <c r="X50" s="951"/>
      <c r="Y50" s="954" t="str">
        <f>Z49&amp;"-"&amp;AB49</f>
        <v>-</v>
      </c>
      <c r="Z50" s="2892"/>
      <c r="AA50" s="2733"/>
      <c r="AB50" s="2892"/>
      <c r="AC50" s="2733"/>
      <c r="AD50" s="951"/>
      <c r="AE50" s="951"/>
      <c r="AF50" s="951"/>
      <c r="AG50" s="954" t="str">
        <f>AH49&amp;"-"&amp;AJ49</f>
        <v>-</v>
      </c>
      <c r="AH50" s="2892"/>
      <c r="AI50" s="2733"/>
      <c r="AJ50" s="2914"/>
      <c r="AK50" s="2733"/>
      <c r="AL50" s="1975"/>
      <c r="AM50" s="2880"/>
      <c r="AO50" s="1126"/>
      <c r="AP50" s="1126" t="str">
        <f>IF(T50="","",T50)</f>
        <v/>
      </c>
      <c r="AQ50" s="1126"/>
      <c r="AR50" s="1126"/>
      <c r="AS50" s="1781">
        <v>0</v>
      </c>
    </row>
    <row customHeight="1" ht="11.549999999999999">
      <c r="A51" s="1989" t="s">
        <v>206</v>
      </c>
      <c r="B51" s="1989" t="s">
        <v>207</v>
      </c>
      <c r="C51" s="1989" t="s">
        <v>208</v>
      </c>
      <c r="D51" s="1989" t="s">
        <v>209</v>
      </c>
      <c r="E51" s="2885"/>
      <c r="F51" s="2885"/>
      <c r="G51" s="2885"/>
      <c r="H51" s="2885"/>
      <c r="I51" s="2912"/>
      <c r="J51" s="2882"/>
      <c r="K51" s="1989"/>
      <c r="L51" s="1990"/>
      <c r="P51" s="2883"/>
      <c r="Q51" s="2883"/>
      <c r="R51" s="982"/>
      <c r="S51" s="1904"/>
      <c r="T51" s="913" t="s">
        <v>429</v>
      </c>
      <c r="U51" s="993"/>
      <c r="V51" s="993"/>
      <c r="W51" s="993"/>
      <c r="X51" s="993"/>
      <c r="Y51" s="993"/>
      <c r="Z51" s="993"/>
      <c r="AA51" s="993"/>
      <c r="AB51" s="993"/>
      <c r="AC51" s="993"/>
      <c r="AD51" s="993"/>
      <c r="AE51" s="993"/>
      <c r="AF51" s="993"/>
      <c r="AG51" s="993"/>
      <c r="AH51" s="993"/>
      <c r="AI51" s="993"/>
      <c r="AJ51" s="993"/>
      <c r="AK51" s="993"/>
      <c r="AL51" s="950"/>
      <c r="AM51" s="2881"/>
      <c r="AO51" s="1126"/>
      <c r="AP51" s="1126" t="str">
        <f>IF(T51="","",T51)</f>
        <v>Добавить вид теплоносителя (параметры теплоносителя)</v>
      </c>
      <c r="AQ51" s="1126"/>
      <c r="AR51" s="1126"/>
      <c r="AS51" s="1781">
        <v>11</v>
      </c>
    </row>
    <row customHeight="1" ht="11.549999999999999">
      <c r="A52" s="1989" t="s">
        <v>206</v>
      </c>
      <c r="B52" s="1989" t="s">
        <v>207</v>
      </c>
      <c r="C52" s="1989" t="s">
        <v>208</v>
      </c>
      <c r="D52" s="1989" t="s">
        <v>209</v>
      </c>
      <c r="E52" s="2885"/>
      <c r="F52" s="2885"/>
      <c r="G52" s="2885"/>
      <c r="H52" s="2885"/>
      <c r="I52" s="2882"/>
      <c r="J52" s="1989"/>
      <c r="K52" s="1989"/>
      <c r="L52" s="1990"/>
      <c r="P52" s="2883"/>
      <c r="Q52" s="1957"/>
      <c r="R52" s="982"/>
      <c r="S52" s="1904"/>
      <c r="T52" s="991" t="s">
        <v>430</v>
      </c>
      <c r="U52" s="993"/>
      <c r="V52" s="993"/>
      <c r="W52" s="993"/>
      <c r="X52" s="993"/>
      <c r="Y52" s="993"/>
      <c r="Z52" s="993"/>
      <c r="AA52" s="993"/>
      <c r="AB52" s="993"/>
      <c r="AC52" s="992"/>
      <c r="AD52" s="993"/>
      <c r="AE52" s="993"/>
      <c r="AF52" s="993"/>
      <c r="AG52" s="993"/>
      <c r="AH52" s="993"/>
      <c r="AI52" s="993"/>
      <c r="AJ52" s="993"/>
      <c r="AK52" s="992"/>
      <c r="AL52" s="993"/>
      <c r="AM52" s="929"/>
      <c r="AO52" s="1126"/>
      <c r="AP52" s="1126" t="str">
        <f>IF(T52="","",T52)</f>
        <v>Добавить группу потребителей</v>
      </c>
      <c r="AQ52" s="1126"/>
      <c r="AR52" s="1126"/>
      <c r="AS52" s="1781">
        <v>11</v>
      </c>
    </row>
    <row customHeight="1" ht="0">
      <c r="A53" s="1989" t="s">
        <v>206</v>
      </c>
      <c r="B53" s="1989" t="s">
        <v>207</v>
      </c>
      <c r="C53" s="1989" t="s">
        <v>208</v>
      </c>
      <c r="D53" s="1989" t="s">
        <v>209</v>
      </c>
      <c r="E53" s="2885"/>
      <c r="F53" s="2885"/>
      <c r="G53" s="2885"/>
      <c r="H53" s="2884"/>
      <c r="I53" s="1989"/>
      <c r="J53" s="1989"/>
      <c r="K53" s="1989"/>
      <c r="L53" s="1990"/>
      <c r="M53" s="1991"/>
      <c r="N53" s="1991"/>
      <c r="O53" s="1163"/>
      <c r="P53" s="986"/>
      <c r="Q53" s="1001"/>
      <c r="R53" s="981"/>
      <c r="S53" s="2012"/>
      <c r="T53" s="2013"/>
      <c r="U53" s="2014"/>
      <c r="V53" s="2014"/>
      <c r="W53" s="2014"/>
      <c r="X53" s="2014"/>
      <c r="Y53" s="2014"/>
      <c r="Z53" s="2014"/>
      <c r="AA53" s="2014"/>
      <c r="AB53" s="2014"/>
      <c r="AC53" s="2014"/>
      <c r="AD53" s="2014"/>
      <c r="AE53" s="2014"/>
      <c r="AF53" s="2014"/>
      <c r="AG53" s="2014"/>
      <c r="AH53" s="2014"/>
      <c r="AI53" s="2014"/>
      <c r="AJ53" s="2014"/>
      <c r="AK53" s="2014"/>
      <c r="AL53" s="2014"/>
      <c r="AM53" s="2015"/>
      <c r="AO53" s="1126"/>
      <c r="AP53" s="1126" t="str">
        <f>IF(T53="","",T53)</f>
        <v/>
      </c>
      <c r="AQ53" s="1126"/>
      <c r="AR53" s="1126"/>
      <c r="AS53" s="1781">
        <v>0</v>
      </c>
    </row>
    <row s="34658" customFormat="1" customHeight="1" ht="0">
      <c r="A54" s="1969" t="s">
        <v>206</v>
      </c>
      <c r="B54" s="1969" t="s">
        <v>207</v>
      </c>
      <c r="C54" s="1969" t="s">
        <v>208</v>
      </c>
      <c r="D54" s="1940"/>
      <c r="E54" s="2885"/>
      <c r="F54" s="2885"/>
      <c r="G54" s="2884"/>
      <c r="H54" s="1940"/>
      <c r="I54" s="1940"/>
      <c r="J54" s="1940"/>
      <c r="K54" s="1940"/>
      <c r="L54" s="1965"/>
      <c r="M54" s="1941"/>
      <c r="N54" s="1941"/>
      <c r="P54" s="1942"/>
      <c r="Q54" s="1943"/>
      <c r="R54" s="1942"/>
      <c r="S54" s="1948"/>
      <c r="T54" s="1951" t="s">
        <v>432</v>
      </c>
      <c r="U54" s="1950"/>
      <c r="V54" s="1950"/>
      <c r="W54" s="1950"/>
      <c r="X54" s="1950"/>
      <c r="Y54" s="1950"/>
      <c r="Z54" s="1950"/>
      <c r="AA54" s="1950"/>
      <c r="AB54" s="1950"/>
      <c r="AC54" s="1950"/>
      <c r="AD54" s="1950"/>
      <c r="AE54" s="1950"/>
      <c r="AF54" s="1950"/>
      <c r="AG54" s="1950"/>
      <c r="AH54" s="1950"/>
      <c r="AI54" s="1950"/>
      <c r="AJ54" s="1950"/>
      <c r="AK54" s="1950"/>
      <c r="AL54" s="1950"/>
      <c r="AM54" s="1950"/>
      <c r="AO54" s="1415"/>
      <c r="AP54" s="1415" t="str">
        <f>IF(T54="","",T54)</f>
        <v>Добавить источник для дифференциации</v>
      </c>
      <c r="AQ54" s="1415"/>
      <c r="AR54" s="1415"/>
      <c r="AS54" s="1144">
        <v>0</v>
      </c>
    </row>
    <row s="34658" customFormat="1" customHeight="1" ht="0">
      <c r="A55" s="1969" t="s">
        <v>206</v>
      </c>
      <c r="B55" s="1969" t="s">
        <v>207</v>
      </c>
      <c r="C55" s="1940"/>
      <c r="D55" s="1940"/>
      <c r="E55" s="2885"/>
      <c r="F55" s="2884"/>
      <c r="G55" s="1940"/>
      <c r="H55" s="1940"/>
      <c r="I55" s="1940"/>
      <c r="J55" s="1940"/>
      <c r="K55" s="1940"/>
      <c r="L55" s="1965"/>
      <c r="M55" s="1947"/>
      <c r="N55" s="1947"/>
      <c r="P55" s="1942"/>
      <c r="Q55" s="1943"/>
      <c r="R55" s="1942"/>
      <c r="S55" s="1948"/>
      <c r="T55" s="1951" t="s">
        <v>433</v>
      </c>
      <c r="U55" s="1950"/>
      <c r="V55" s="1950"/>
      <c r="W55" s="1950"/>
      <c r="X55" s="1950"/>
      <c r="Y55" s="1950"/>
      <c r="Z55" s="1950"/>
      <c r="AA55" s="1950"/>
      <c r="AB55" s="1950"/>
      <c r="AC55" s="1950"/>
      <c r="AD55" s="1950"/>
      <c r="AE55" s="1950"/>
      <c r="AF55" s="1950"/>
      <c r="AG55" s="1950"/>
      <c r="AH55" s="1950"/>
      <c r="AI55" s="1950"/>
      <c r="AJ55" s="1950"/>
      <c r="AK55" s="1950"/>
      <c r="AL55" s="1950"/>
      <c r="AM55" s="1950"/>
      <c r="AO55" s="1415"/>
      <c r="AP55" s="1415" t="str">
        <f>IF(T55="","",T55)</f>
        <v>Добавить централизованную систему для дифференциации</v>
      </c>
      <c r="AQ55" s="1415"/>
      <c r="AR55" s="1415"/>
      <c r="AS55" s="1144">
        <v>0</v>
      </c>
    </row>
    <row s="34658" customFormat="1" customHeight="1" ht="0">
      <c r="A56" s="1969" t="s">
        <v>206</v>
      </c>
      <c r="B56" s="1969"/>
      <c r="C56" s="1969"/>
      <c r="D56" s="1969"/>
      <c r="E56" s="2884"/>
      <c r="F56" s="1969"/>
      <c r="G56" s="1969"/>
      <c r="H56" s="1969"/>
      <c r="I56" s="1969"/>
      <c r="J56" s="1969"/>
      <c r="K56" s="1969"/>
      <c r="L56" s="1972"/>
      <c r="M56" s="1947"/>
      <c r="N56" s="1947"/>
      <c r="O56" s="1144"/>
      <c r="P56" s="1006"/>
      <c r="Q56" s="1970"/>
      <c r="R56" s="1006"/>
      <c r="S56" s="1948"/>
      <c r="T56" s="1951" t="s">
        <v>434</v>
      </c>
      <c r="U56" s="1950"/>
      <c r="V56" s="1950"/>
      <c r="W56" s="1950"/>
      <c r="X56" s="1950"/>
      <c r="Y56" s="1950"/>
      <c r="Z56" s="1950"/>
      <c r="AA56" s="1950"/>
      <c r="AB56" s="1950"/>
      <c r="AC56" s="1950"/>
      <c r="AD56" s="1950"/>
      <c r="AE56" s="1950"/>
      <c r="AF56" s="1950"/>
      <c r="AG56" s="1950"/>
      <c r="AH56" s="1950"/>
      <c r="AI56" s="1950"/>
      <c r="AJ56" s="1950"/>
      <c r="AK56" s="1950"/>
      <c r="AL56" s="1950"/>
      <c r="AM56" s="1950"/>
      <c r="AO56" s="1126"/>
      <c r="AP56" s="1126" t="str">
        <f>IF(T56="","",T56)</f>
        <v>Добавить территорию для дифференциации</v>
      </c>
      <c r="AQ56" s="1126"/>
      <c r="AR56" s="1126"/>
      <c r="AS56" s="1137">
        <v>0</v>
      </c>
    </row>
    <row s="34658" customFormat="1" customHeight="1" ht="4.2">
      <c r="A57" s="1940"/>
      <c r="B57" s="1940"/>
      <c r="C57" s="1940"/>
      <c r="D57" s="1940"/>
      <c r="E57" s="1969"/>
      <c r="F57" s="1940"/>
      <c r="G57" s="1940"/>
      <c r="H57" s="1940"/>
      <c r="I57" s="1940"/>
      <c r="J57" s="1940"/>
      <c r="K57" s="1940"/>
      <c r="L57" s="1965"/>
      <c r="M57" s="1947"/>
      <c r="N57" s="1947"/>
      <c r="P57" s="1942"/>
      <c r="Q57" s="1943"/>
      <c r="R57" s="1942"/>
      <c r="S57" s="1948"/>
      <c r="T57" s="1951" t="s">
        <v>466</v>
      </c>
      <c r="U57" s="1950"/>
      <c r="V57" s="1950"/>
      <c r="W57" s="1950"/>
      <c r="X57" s="1950"/>
      <c r="Y57" s="1950"/>
      <c r="Z57" s="1950"/>
      <c r="AA57" s="1950"/>
      <c r="AB57" s="1950"/>
      <c r="AC57" s="1950"/>
      <c r="AD57" s="1950"/>
      <c r="AE57" s="1950"/>
      <c r="AF57" s="1950"/>
      <c r="AG57" s="1950"/>
      <c r="AH57" s="1950"/>
      <c r="AI57" s="1950"/>
      <c r="AJ57" s="1950"/>
      <c r="AK57" s="1950"/>
      <c r="AL57" s="1950"/>
      <c r="AM57" s="1950"/>
      <c r="AO57" s="1415"/>
      <c r="AP57" s="1415" t="str">
        <f>IF(T57="","",T57)</f>
        <v>Добавить наименование тарифа</v>
      </c>
      <c r="AQ57" s="1415"/>
      <c r="AR57" s="1415"/>
      <c r="AS57" s="1144">
        <v>4</v>
      </c>
    </row>
    <row customHeight="1" ht="11.549999999999999">
      <c r="M58" s="1786"/>
      <c r="N58" s="1786"/>
      <c r="O58" s="1163"/>
      <c r="P58" s="1781"/>
      <c r="Q58" s="1781"/>
      <c r="R58" s="1781"/>
      <c r="S58" s="1781"/>
      <c r="AN58" s="1781"/>
      <c r="AO58" s="1781"/>
      <c r="AP58" s="1781"/>
      <c r="AQ58" s="1781"/>
      <c r="AR58" s="1781"/>
      <c r="AS58" s="1781">
        <v>11</v>
      </c>
    </row>
    <row customHeight="1" ht="14.699999999999998">
      <c r="O59" s="1163"/>
      <c r="S59" s="1879"/>
      <c r="T59" s="2911"/>
      <c r="U59" s="2911"/>
      <c r="V59" s="2911"/>
      <c r="W59" s="2911"/>
      <c r="X59" s="2911"/>
      <c r="Y59" s="2911"/>
      <c r="Z59" s="2911"/>
      <c r="AA59" s="2911"/>
      <c r="AB59" s="2911"/>
      <c r="AC59" s="2911"/>
      <c r="AD59" s="2911"/>
      <c r="AE59" s="2911"/>
      <c r="AF59" s="2911"/>
      <c r="AG59" s="2911"/>
      <c r="AH59" s="2911"/>
      <c r="AI59" s="2911"/>
      <c r="AJ59" s="2911"/>
      <c r="AK59" s="2911"/>
      <c r="AL59" s="2911"/>
      <c r="AM59" s="2911"/>
      <c r="AS59" s="1781">
        <v>14</v>
      </c>
    </row>
    <row customHeight="1" ht="14.699999999999998">
      <c r="O60" s="1163"/>
      <c r="T60" s="2911"/>
      <c r="U60" s="2911"/>
      <c r="V60" s="2911"/>
      <c r="W60" s="2911"/>
      <c r="X60" s="2911"/>
      <c r="Y60" s="2911"/>
      <c r="Z60" s="2911"/>
      <c r="AA60" s="2911"/>
      <c r="AB60" s="2911"/>
      <c r="AC60" s="2911"/>
      <c r="AD60" s="2911"/>
      <c r="AE60" s="2911"/>
      <c r="AF60" s="2911"/>
      <c r="AG60" s="2911"/>
      <c r="AH60" s="2911"/>
      <c r="AI60" s="2911"/>
      <c r="AJ60" s="2911"/>
      <c r="AK60" s="2911"/>
      <c r="AL60" s="2911"/>
      <c r="AM60" s="2911"/>
      <c r="AS60" s="1781">
        <v>14</v>
      </c>
    </row>
    <row customHeight="1" ht="14.699999999999998">
      <c r="O61" s="1163"/>
      <c r="T61" s="2911"/>
      <c r="U61" s="2911"/>
      <c r="V61" s="2911"/>
      <c r="W61" s="2911"/>
      <c r="X61" s="2911"/>
      <c r="Y61" s="2911"/>
      <c r="Z61" s="2911"/>
      <c r="AA61" s="2911"/>
      <c r="AB61" s="2911"/>
      <c r="AC61" s="2911"/>
      <c r="AD61" s="2911"/>
      <c r="AE61" s="2911"/>
      <c r="AF61" s="2911"/>
      <c r="AG61" s="2911"/>
      <c r="AH61" s="2911"/>
      <c r="AI61" s="2911"/>
      <c r="AJ61" s="2911"/>
      <c r="AK61" s="2911"/>
      <c r="AL61" s="2911"/>
      <c r="AM61" s="2911"/>
      <c r="AS61" s="1781">
        <v>14</v>
      </c>
    </row>
    <row customHeight="1" ht="14.699999999999998">
      <c r="O62" s="1163"/>
      <c r="AS62" s="1781">
        <v>14</v>
      </c>
    </row>
    <row customHeight="1" ht="14.699999999999998">
      <c r="O63" s="1163"/>
      <c r="S63" s="1879"/>
      <c r="T63" s="2925"/>
      <c r="U63" s="2911"/>
      <c r="V63" s="2911"/>
      <c r="W63" s="2911"/>
      <c r="X63" s="2911"/>
      <c r="Y63" s="2911"/>
      <c r="Z63" s="2911"/>
      <c r="AA63" s="2911"/>
      <c r="AB63" s="2911"/>
      <c r="AC63" s="2911"/>
      <c r="AD63" s="2911"/>
      <c r="AE63" s="2911"/>
      <c r="AF63" s="2911"/>
      <c r="AG63" s="2911"/>
      <c r="AH63" s="2911"/>
      <c r="AI63" s="2911"/>
      <c r="AJ63" s="2911"/>
      <c r="AK63" s="2911"/>
      <c r="AL63" s="2911"/>
      <c r="AM63" s="2911"/>
      <c r="AS63" s="1781">
        <v>14</v>
      </c>
    </row>
    <row customHeight="1" ht="14.699999999999998">
      <c r="O64" s="1163"/>
      <c r="T64" s="2911"/>
      <c r="U64" s="2911"/>
      <c r="V64" s="2911"/>
      <c r="W64" s="2911"/>
      <c r="X64" s="2911"/>
      <c r="Y64" s="2911"/>
      <c r="Z64" s="2911"/>
      <c r="AA64" s="2911"/>
      <c r="AB64" s="2911"/>
      <c r="AC64" s="2911"/>
      <c r="AD64" s="2911"/>
      <c r="AE64" s="2911"/>
      <c r="AF64" s="2911"/>
      <c r="AG64" s="2911"/>
      <c r="AH64" s="2911"/>
      <c r="AI64" s="2911"/>
      <c r="AJ64" s="2911"/>
      <c r="AK64" s="2911"/>
      <c r="AL64" s="2911"/>
      <c r="AM64" s="2911"/>
      <c r="AS64" s="1781">
        <v>14</v>
      </c>
    </row>
    <row customHeight="1" ht="14.699999999999998">
      <c r="T65" s="2911"/>
      <c r="U65" s="2911"/>
      <c r="V65" s="2911"/>
      <c r="W65" s="2911"/>
      <c r="X65" s="2911"/>
      <c r="Y65" s="2911"/>
      <c r="Z65" s="2911"/>
      <c r="AA65" s="2911"/>
      <c r="AB65" s="2911"/>
      <c r="AC65" s="2911"/>
      <c r="AD65" s="2911"/>
      <c r="AE65" s="2911"/>
      <c r="AF65" s="2911"/>
      <c r="AG65" s="2911"/>
      <c r="AH65" s="2911"/>
      <c r="AI65" s="2911"/>
      <c r="AJ65" s="2911"/>
      <c r="AK65" s="2911"/>
      <c r="AL65" s="2911"/>
      <c r="AM65" s="2911"/>
      <c r="AS65" s="1781">
        <v>14</v>
      </c>
    </row>
    <row customHeight="1" ht="22.5" hidden="1">
      <c r="A66" s="1786" t="s">
        <v>82</v>
      </c>
      <c r="B66" s="1786">
        <v>0</v>
      </c>
      <c r="C66" s="1786">
        <v>0</v>
      </c>
      <c r="D66" s="1786">
        <v>0</v>
      </c>
      <c r="E66" s="1786">
        <v>0</v>
      </c>
      <c r="F66" s="1786">
        <v>0</v>
      </c>
      <c r="G66" s="1786">
        <v>0</v>
      </c>
      <c r="H66" s="1786">
        <v>0</v>
      </c>
      <c r="I66" s="1786">
        <v>0</v>
      </c>
      <c r="J66" s="1786">
        <v>0</v>
      </c>
      <c r="K66" s="1786">
        <v>0</v>
      </c>
      <c r="L66" s="1955">
        <v>0</v>
      </c>
      <c r="M66" s="1988">
        <v>0</v>
      </c>
      <c r="N66" s="1988">
        <v>0</v>
      </c>
      <c r="O66" s="1988">
        <v>0</v>
      </c>
      <c r="P66" s="1954">
        <v>0</v>
      </c>
      <c r="Q66" s="970">
        <v>3</v>
      </c>
      <c r="R66" s="970">
        <v>3</v>
      </c>
      <c r="S66" s="1207">
        <v>12</v>
      </c>
      <c r="T66" s="1781">
        <v>31</v>
      </c>
      <c r="U66" s="1781">
        <v>0</v>
      </c>
      <c r="V66" s="1781">
        <v>0</v>
      </c>
      <c r="W66" s="1781">
        <v>0</v>
      </c>
      <c r="X66" s="1781">
        <v>0</v>
      </c>
      <c r="Y66" s="1781">
        <v>0</v>
      </c>
      <c r="Z66" s="1781">
        <v>0</v>
      </c>
      <c r="AA66" s="1781">
        <v>0</v>
      </c>
      <c r="AB66" s="1781">
        <v>0</v>
      </c>
      <c r="AC66" s="1781">
        <v>0</v>
      </c>
      <c r="AD66" s="1781">
        <v>24</v>
      </c>
      <c r="AE66" s="1781">
        <v>0</v>
      </c>
      <c r="AF66" s="1781">
        <v>24</v>
      </c>
      <c r="AG66" s="1781">
        <v>24</v>
      </c>
      <c r="AH66" s="1781">
        <v>11</v>
      </c>
      <c r="AI66" s="1781">
        <v>3</v>
      </c>
      <c r="AJ66" s="1781">
        <v>11</v>
      </c>
      <c r="AK66" s="1781">
        <v>0</v>
      </c>
      <c r="AL66" s="1781">
        <v>4</v>
      </c>
      <c r="AM66" s="1781">
        <v>115</v>
      </c>
      <c r="AN66" s="1137">
        <v>10</v>
      </c>
      <c r="AO66" s="1137">
        <v>10</v>
      </c>
      <c r="AP66" s="1137">
        <v>10</v>
      </c>
      <c r="AQ66" s="1137">
        <v>10</v>
      </c>
      <c r="AR66" s="1137">
        <v>10</v>
      </c>
      <c r="AS66" s="1781">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D1CB06-F11B-35E6-3B06-7262F88DBF2D}"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34580" width="10.57421875" hidden="1"/>
    <col min="2" max="2" style="34580" width="11.00390625" hidden="1" customWidth="1"/>
    <col min="3" max="3" style="34580" width="10.57421875" hidden="1"/>
    <col min="4" max="4" style="34580" width="11.8515625" hidden="1" customWidth="1"/>
    <col min="5" max="5" style="34580" width="10.00390625" hidden="1" customWidth="1"/>
    <col min="6" max="6" style="34580" width="8.7109375" hidden="1" customWidth="1"/>
    <col min="7" max="7" style="34580" width="7.57421875" hidden="1" customWidth="1"/>
    <col min="8" max="8" style="34580" width="11.421875" hidden="1" customWidth="1"/>
    <col min="9" max="9" style="34580" width="12.00390625" hidden="1" customWidth="1"/>
    <col min="10" max="10" style="34580" width="9.8515625" hidden="1" customWidth="1"/>
    <col min="11" max="12" style="34580" width="11.421875" hidden="1" customWidth="1"/>
    <col min="13" max="13" style="34655" width="19.140625" hidden="1" customWidth="1"/>
    <col min="14" max="15" style="35441" width="12.28125" hidden="1" customWidth="1"/>
    <col min="16" max="16" style="35441" width="23.421875" hidden="1" customWidth="1"/>
    <col min="17" max="17" style="35441" width="3.7109375" hidden="1" customWidth="1"/>
    <col min="18" max="20" style="35442" width="3.00390625" customWidth="1"/>
    <col min="21" max="21" style="35443" width="12.00390625" customWidth="1"/>
    <col min="22" max="22" style="34580" width="31.00390625" customWidth="1"/>
    <col min="23" max="23" style="34580" width="0.140625" customWidth="1"/>
    <col min="24" max="28" style="34580" width="21.7109375" hidden="1" customWidth="1"/>
    <col min="29" max="29" style="34580" width="11.7109375" hidden="1" customWidth="1"/>
    <col min="30" max="30" style="34580" width="3.7109375" hidden="1" customWidth="1"/>
    <col min="31" max="31" style="34580" width="11.7109375" hidden="1" customWidth="1"/>
    <col min="32" max="32" style="34580" width="8.57421875" hidden="1" customWidth="1"/>
    <col min="33" max="33" style="34580" width="21.7109375" customWidth="1"/>
    <col min="34" max="37" style="34580" width="21.00390625" customWidth="1"/>
    <col min="38" max="38" style="34580" width="11.00390625" customWidth="1"/>
    <col min="39" max="39" style="34580" width="3.7109375" customWidth="1"/>
    <col min="40" max="40" style="34580" width="11.00390625" customWidth="1"/>
    <col min="41" max="41" style="34580" width="8.57421875" hidden="1" customWidth="1"/>
    <col min="42" max="42" style="34580" width="4.00390625" customWidth="1"/>
    <col min="43" max="43" style="34580" width="115.00390625" customWidth="1"/>
    <col min="44" max="48" style="34658" width="10.00390625" customWidth="1"/>
    <col min="49" max="49" style="34580" width="10.57421875" hidden="1"/>
  </cols>
  <sheetData>
    <row customHeight="1" ht="22.5" hidden="1">
      <c r="AB1" s="953"/>
      <c r="AC1" s="953"/>
      <c r="AK1" s="953"/>
      <c r="AL1" s="953"/>
      <c r="AW1" s="1781" t="s">
        <v>14</v>
      </c>
    </row>
    <row customHeight="1" ht="21" hidden="1">
      <c r="A2" s="1893"/>
      <c r="B2" s="1893"/>
      <c r="C2" s="1893"/>
      <c r="D2" s="1893"/>
      <c r="E2" s="2915">
        <v>1</v>
      </c>
      <c r="F2" s="1893"/>
      <c r="G2" s="1893"/>
      <c r="H2" s="1893"/>
      <c r="I2" s="1893"/>
      <c r="J2" s="1893"/>
      <c r="K2" s="1893"/>
      <c r="L2" s="1893"/>
      <c r="M2" s="1936"/>
      <c r="N2" s="1314"/>
      <c r="O2" s="1314"/>
      <c r="P2" s="1314"/>
      <c r="Q2" s="987"/>
      <c r="R2" s="986"/>
      <c r="S2" s="986"/>
      <c r="T2" s="981"/>
      <c r="U2" s="1962">
        <f>INDEX(PT_DIFFERENTIATION_NUM_NTAR,MATCH(A2,PT_DIFFERENTIATION_NTAR_ID,0))</f>
      </c>
      <c r="V2" s="924" t="s">
        <v>143</v>
      </c>
      <c r="W2" s="926"/>
      <c r="X2" s="2868"/>
      <c r="Y2" s="2869"/>
      <c r="Z2" s="2869"/>
      <c r="AA2" s="2869"/>
      <c r="AB2" s="2869"/>
      <c r="AC2" s="2869"/>
      <c r="AD2" s="2869"/>
      <c r="AE2" s="2869"/>
      <c r="AF2" s="2870"/>
      <c r="AG2" s="2868">
        <f>INDEX(PT_DIFFERENTIATION_NTAR,MATCH(A2,PT_DIFFERENTIATION_NTAR_ID,0))</f>
      </c>
      <c r="AH2" s="2869"/>
      <c r="AI2" s="2869"/>
      <c r="AJ2" s="2869"/>
      <c r="AK2" s="2869"/>
      <c r="AL2" s="2869"/>
      <c r="AM2" s="2869"/>
      <c r="AN2" s="2869"/>
      <c r="AO2" s="2869"/>
      <c r="AP2" s="2870"/>
      <c r="AQ2" s="1884" t="s">
        <v>414</v>
      </c>
      <c r="AS2" s="1126"/>
      <c r="AT2" s="1126" t="str">
        <f>IF(V2="","",V2)</f>
        <v>Наименование тарифа</v>
      </c>
      <c r="AU2" s="1126"/>
      <c r="AV2" s="1126"/>
      <c r="AW2" s="1781">
        <v>0</v>
      </c>
    </row>
    <row customHeight="1" ht="21" hidden="1">
      <c r="A3" s="1893"/>
      <c r="B3" s="1893"/>
      <c r="C3" s="1893"/>
      <c r="D3" s="1893"/>
      <c r="E3" s="2916"/>
      <c r="F3" s="2915">
        <v>1</v>
      </c>
      <c r="G3" s="1893"/>
      <c r="H3" s="1893"/>
      <c r="I3" s="1893"/>
      <c r="J3" s="1893"/>
      <c r="K3" s="1893"/>
      <c r="L3" s="1893"/>
      <c r="M3" s="1936"/>
      <c r="N3" s="1314"/>
      <c r="O3" s="1314"/>
      <c r="P3" s="1314"/>
      <c r="Q3" s="1958"/>
      <c r="R3" s="978"/>
      <c r="S3" s="1135"/>
      <c r="T3" s="979"/>
      <c r="U3" s="1962">
        <f>INDEX(PT_DIFFERENTIATION_NUM_TER,MATCH(B3,PT_DIFFERENTIATION_TER_ID,0))</f>
      </c>
      <c r="V3" s="934" t="s">
        <v>415</v>
      </c>
      <c r="W3" s="926"/>
      <c r="X3" s="2868"/>
      <c r="Y3" s="2869"/>
      <c r="Z3" s="2869"/>
      <c r="AA3" s="2869"/>
      <c r="AB3" s="2869"/>
      <c r="AC3" s="2869"/>
      <c r="AD3" s="2869"/>
      <c r="AE3" s="2869"/>
      <c r="AF3" s="2870"/>
      <c r="AG3" s="2868">
        <f>INDEX(PT_DIFFERENTIATION_TER,MATCH(B3,PT_DIFFERENTIATION_TER_ID,0))</f>
      </c>
      <c r="AH3" s="2869"/>
      <c r="AI3" s="2869"/>
      <c r="AJ3" s="2869"/>
      <c r="AK3" s="2869"/>
      <c r="AL3" s="2869"/>
      <c r="AM3" s="2869"/>
      <c r="AN3" s="2869"/>
      <c r="AO3" s="2869"/>
      <c r="AP3" s="2870"/>
      <c r="AQ3" s="1884" t="s">
        <v>416</v>
      </c>
      <c r="AS3" s="1126"/>
      <c r="AT3" s="1126" t="str">
        <f>IF(V3="","",V3)</f>
        <v>Территория действия тарифа</v>
      </c>
      <c r="AU3" s="1126"/>
      <c r="AV3" s="1126"/>
      <c r="AW3" s="1781">
        <v>0</v>
      </c>
    </row>
    <row customHeight="1" ht="22.5" hidden="1">
      <c r="A4" s="1893"/>
      <c r="B4" s="1893"/>
      <c r="C4" s="1893"/>
      <c r="D4" s="1893"/>
      <c r="E4" s="2916"/>
      <c r="F4" s="2916"/>
      <c r="G4" s="2915">
        <v>1</v>
      </c>
      <c r="H4" s="1893"/>
      <c r="I4" s="1893"/>
      <c r="J4" s="1893"/>
      <c r="K4" s="1893"/>
      <c r="L4" s="1893"/>
      <c r="M4" s="1936"/>
      <c r="N4" s="1314"/>
      <c r="O4" s="1314"/>
      <c r="P4" s="1314"/>
      <c r="Q4" s="980"/>
      <c r="R4" s="978"/>
      <c r="S4" s="1135"/>
      <c r="T4" s="979"/>
      <c r="U4" s="1962">
        <f>INDEX(PT_DIFFERENTIATION_NUM_CS,MATCH(C4,PT_DIFFERENTIATION_CS_ID,0))</f>
      </c>
      <c r="V4" s="935" t="s">
        <v>417</v>
      </c>
      <c r="W4" s="926"/>
      <c r="X4" s="2868"/>
      <c r="Y4" s="2869"/>
      <c r="Z4" s="2869"/>
      <c r="AA4" s="2869"/>
      <c r="AB4" s="2869"/>
      <c r="AC4" s="2869"/>
      <c r="AD4" s="2869"/>
      <c r="AE4" s="2869"/>
      <c r="AF4" s="2870"/>
      <c r="AG4" s="2868">
        <f>INDEX(PT_DIFFERENTIATION_CS,MATCH(C4,PT_DIFFERENTIATION_CS_ID,0))</f>
      </c>
      <c r="AH4" s="2869"/>
      <c r="AI4" s="2869"/>
      <c r="AJ4" s="2869"/>
      <c r="AK4" s="2869"/>
      <c r="AL4" s="2869"/>
      <c r="AM4" s="2869"/>
      <c r="AN4" s="2869"/>
      <c r="AO4" s="2869"/>
      <c r="AP4" s="2870"/>
      <c r="AQ4" s="1884" t="s">
        <v>418</v>
      </c>
      <c r="AS4" s="1126"/>
      <c r="AT4" s="1126" t="str">
        <f>IF(V4="","",V4)</f>
        <v>Наименование системы теплоснабжения </v>
      </c>
      <c r="AU4" s="1126"/>
      <c r="AV4" s="1126"/>
      <c r="AW4" s="1781">
        <v>0</v>
      </c>
    </row>
    <row customHeight="1" ht="21" hidden="1">
      <c r="A5" s="1893"/>
      <c r="B5" s="1893"/>
      <c r="C5" s="1893"/>
      <c r="D5" s="1893"/>
      <c r="E5" s="2916"/>
      <c r="F5" s="2916"/>
      <c r="G5" s="2916"/>
      <c r="H5" s="2915">
        <v>1</v>
      </c>
      <c r="I5" s="1893"/>
      <c r="J5" s="1893"/>
      <c r="K5" s="1893"/>
      <c r="L5" s="1893"/>
      <c r="M5" s="1936"/>
      <c r="N5" s="1314"/>
      <c r="O5" s="1314"/>
      <c r="P5" s="1314"/>
      <c r="Q5" s="980"/>
      <c r="R5" s="978"/>
      <c r="S5" s="1135"/>
      <c r="T5" s="979"/>
      <c r="U5" s="1962">
        <f>INDEX(PT_DIFFERENTIATION_NUM_IST_TE,MATCH(D5,PT_DIFFERENTIATION_IST_TE_ID,0))</f>
      </c>
      <c r="V5" s="936" t="s">
        <v>419</v>
      </c>
      <c r="W5" s="926"/>
      <c r="X5" s="2868"/>
      <c r="Y5" s="2869"/>
      <c r="Z5" s="2869"/>
      <c r="AA5" s="2869"/>
      <c r="AB5" s="2869"/>
      <c r="AC5" s="2869"/>
      <c r="AD5" s="2869"/>
      <c r="AE5" s="2869"/>
      <c r="AF5" s="2870"/>
      <c r="AG5" s="2868">
        <f>INDEX(PT_DIFFERENTIATION_IST_TE,MATCH(D5,PT_DIFFERENTIATION_IST_TE_ID,0))</f>
      </c>
      <c r="AH5" s="2869"/>
      <c r="AI5" s="2869"/>
      <c r="AJ5" s="2869"/>
      <c r="AK5" s="2869"/>
      <c r="AL5" s="2869"/>
      <c r="AM5" s="2869"/>
      <c r="AN5" s="2869"/>
      <c r="AO5" s="2869"/>
      <c r="AP5" s="2870"/>
      <c r="AQ5" s="1884" t="s">
        <v>420</v>
      </c>
      <c r="AS5" s="1126"/>
      <c r="AT5" s="1126" t="str">
        <f>IF(V5="","",V5)</f>
        <v>Источник тепловой энергии  </v>
      </c>
      <c r="AU5" s="1126"/>
      <c r="AV5" s="1126"/>
      <c r="AW5" s="1781">
        <v>0</v>
      </c>
    </row>
    <row customHeight="1" ht="14.25" hidden="1">
      <c r="A6" s="1893"/>
      <c r="B6" s="1893"/>
      <c r="C6" s="1893"/>
      <c r="D6" s="1893"/>
      <c r="E6" s="2916"/>
      <c r="F6" s="2916"/>
      <c r="G6" s="2916"/>
      <c r="H6" s="2916"/>
      <c r="I6" s="2753">
        <f>U5&amp;".1"</f>
      </c>
      <c r="J6" s="1893"/>
      <c r="K6" s="1893"/>
      <c r="L6" s="1893"/>
      <c r="M6" s="1936" t="s">
        <v>421</v>
      </c>
      <c r="N6" s="1135"/>
      <c r="Q6" s="2883">
        <v>1</v>
      </c>
      <c r="R6" s="1957"/>
      <c r="S6" s="1957"/>
      <c r="T6" s="982"/>
      <c r="U6" s="1668"/>
      <c r="V6" s="2009"/>
      <c r="W6" s="2010"/>
      <c r="X6" s="2922"/>
      <c r="Y6" s="2923"/>
      <c r="Z6" s="2923"/>
      <c r="AA6" s="2923"/>
      <c r="AB6" s="2923"/>
      <c r="AC6" s="2923"/>
      <c r="AD6" s="2923"/>
      <c r="AE6" s="2923"/>
      <c r="AF6" s="2924"/>
      <c r="AG6" s="2922"/>
      <c r="AH6" s="2923"/>
      <c r="AI6" s="2923"/>
      <c r="AJ6" s="2923"/>
      <c r="AK6" s="2923"/>
      <c r="AL6" s="2923"/>
      <c r="AM6" s="2923"/>
      <c r="AN6" s="2923"/>
      <c r="AO6" s="2923"/>
      <c r="AP6" s="2924"/>
      <c r="AQ6" s="2011"/>
      <c r="AS6" s="1126"/>
      <c r="AT6" s="1126" t="str">
        <f>IF(V6="","",V6)</f>
        <v/>
      </c>
      <c r="AU6" s="1126"/>
      <c r="AV6" s="1126"/>
      <c r="AW6" s="1781">
        <v>0</v>
      </c>
    </row>
    <row customHeight="1" ht="21" hidden="1">
      <c r="A7" s="1893"/>
      <c r="B7" s="1893"/>
      <c r="C7" s="1893"/>
      <c r="D7" s="1893"/>
      <c r="E7" s="2916"/>
      <c r="F7" s="2916"/>
      <c r="G7" s="2916"/>
      <c r="H7" s="2916"/>
      <c r="I7" s="2727"/>
      <c r="J7" s="2753">
        <f>I6&amp;".1"</f>
      </c>
      <c r="K7" s="1893"/>
      <c r="L7" s="1893"/>
      <c r="M7" s="1936" t="s">
        <v>424</v>
      </c>
      <c r="N7" s="1135"/>
      <c r="O7" s="953"/>
      <c r="Q7" s="2883"/>
      <c r="R7" s="2883">
        <v>1</v>
      </c>
      <c r="S7" s="1144"/>
      <c r="T7" s="983"/>
      <c r="U7" s="1962">
        <f>$J7</f>
      </c>
      <c r="V7" s="912" t="s">
        <v>425</v>
      </c>
      <c r="W7" s="926"/>
      <c r="X7" s="2871"/>
      <c r="Y7" s="2872"/>
      <c r="Z7" s="2872"/>
      <c r="AA7" s="2872"/>
      <c r="AB7" s="2872"/>
      <c r="AC7" s="2861"/>
      <c r="AD7" s="2861"/>
      <c r="AE7" s="2861"/>
      <c r="AF7" s="2934"/>
      <c r="AG7" s="2871"/>
      <c r="AH7" s="2872"/>
      <c r="AI7" s="2872"/>
      <c r="AJ7" s="2872"/>
      <c r="AK7" s="2872"/>
      <c r="AL7" s="2872"/>
      <c r="AM7" s="2872"/>
      <c r="AN7" s="2872"/>
      <c r="AO7" s="2872"/>
      <c r="AP7" s="2873"/>
      <c r="AQ7" s="1884" t="s">
        <v>426</v>
      </c>
      <c r="AS7" s="1126"/>
      <c r="AT7" s="1126" t="str">
        <f>IF(V7="","",V7)</f>
        <v>Группа потребителей</v>
      </c>
      <c r="AU7" s="1126"/>
      <c r="AV7" s="1126"/>
      <c r="AW7" s="1781">
        <v>0</v>
      </c>
    </row>
    <row customHeight="1" ht="21" hidden="1">
      <c r="A8" s="1893"/>
      <c r="B8" s="1893"/>
      <c r="C8" s="1893"/>
      <c r="D8" s="1893"/>
      <c r="E8" s="2916"/>
      <c r="F8" s="2916"/>
      <c r="G8" s="2916"/>
      <c r="H8" s="2916"/>
      <c r="I8" s="2727"/>
      <c r="J8" s="2727"/>
      <c r="K8" s="2753">
        <f>J7&amp;".1"</f>
      </c>
      <c r="L8" s="765"/>
      <c r="M8" s="1936" t="s">
        <v>427</v>
      </c>
      <c r="N8" s="1135"/>
      <c r="O8" s="953"/>
      <c r="P8" s="953"/>
      <c r="Q8" s="2883"/>
      <c r="R8" s="2883"/>
      <c r="S8" s="2883">
        <v>1</v>
      </c>
      <c r="T8" s="983"/>
      <c r="U8" s="1962">
        <f>$K8</f>
      </c>
      <c r="V8" s="1973"/>
      <c r="W8" s="926"/>
      <c r="X8" s="1377"/>
      <c r="Y8" s="1377"/>
      <c r="Z8" s="1377"/>
      <c r="AA8" s="1377"/>
      <c r="AB8" s="2031"/>
      <c r="AC8" s="2891"/>
      <c r="AD8" s="2733" t="s">
        <v>66</v>
      </c>
      <c r="AE8" s="2891"/>
      <c r="AF8" s="2733" t="s">
        <v>66</v>
      </c>
      <c r="AG8" s="2033"/>
      <c r="AH8" s="1377"/>
      <c r="AI8" s="1377"/>
      <c r="AJ8" s="1377"/>
      <c r="AK8" s="1883"/>
      <c r="AL8" s="2891"/>
      <c r="AM8" s="2733" t="s">
        <v>66</v>
      </c>
      <c r="AN8" s="2891"/>
      <c r="AO8" s="2733" t="s">
        <v>66</v>
      </c>
      <c r="AP8" s="951"/>
      <c r="AQ8" s="1933" t="s">
        <v>470</v>
      </c>
      <c r="AR8" s="1137">
        <f>STRCHECKDATE(X10:AP10)</f>
      </c>
      <c r="AS8" s="1126"/>
      <c r="AT8" s="1126" t="str">
        <f>IF(V8="","",V8)</f>
        <v/>
      </c>
      <c r="AU8" s="1126"/>
      <c r="AV8" s="1126"/>
      <c r="AW8" s="1781">
        <v>0</v>
      </c>
    </row>
    <row customHeight="1" ht="21" hidden="1">
      <c r="A9" s="1893"/>
      <c r="B9" s="1893"/>
      <c r="C9" s="1893"/>
      <c r="D9" s="1893"/>
      <c r="E9" s="2916"/>
      <c r="F9" s="2916"/>
      <c r="G9" s="2916"/>
      <c r="H9" s="2916"/>
      <c r="I9" s="2727"/>
      <c r="J9" s="2727"/>
      <c r="K9" s="2727"/>
      <c r="L9" s="2753">
        <f>K8&amp;".1"</f>
      </c>
      <c r="M9" s="1936"/>
      <c r="N9" s="1135"/>
      <c r="O9" s="953"/>
      <c r="P9" s="953"/>
      <c r="Q9" s="2883"/>
      <c r="R9" s="2883"/>
      <c r="S9" s="2883"/>
      <c r="T9" s="983"/>
      <c r="U9" s="1962">
        <f>$L9</f>
      </c>
      <c r="V9" s="2017"/>
      <c r="W9" s="926"/>
      <c r="X9" s="951"/>
      <c r="Y9" s="1377"/>
      <c r="Z9" s="1377"/>
      <c r="AA9" s="1377"/>
      <c r="AB9" s="2031"/>
      <c r="AC9" s="2935"/>
      <c r="AD9" s="2733"/>
      <c r="AE9" s="2935"/>
      <c r="AF9" s="2733"/>
      <c r="AG9" s="2033"/>
      <c r="AH9" s="1377"/>
      <c r="AI9" s="1377"/>
      <c r="AJ9" s="1377"/>
      <c r="AK9" s="1883"/>
      <c r="AL9" s="2935"/>
      <c r="AM9" s="2733"/>
      <c r="AN9" s="2935"/>
      <c r="AO9" s="2733"/>
      <c r="AP9" s="951"/>
      <c r="AQ9" s="2879" t="s">
        <v>471</v>
      </c>
      <c r="AS9" s="1126"/>
      <c r="AT9" s="1126"/>
      <c r="AU9" s="1126"/>
      <c r="AV9" s="1126"/>
      <c r="AW9" s="1781">
        <v>0</v>
      </c>
    </row>
    <row customHeight="1" ht="14.25" hidden="1">
      <c r="A10" s="1893"/>
      <c r="B10" s="1893"/>
      <c r="C10" s="1893"/>
      <c r="D10" s="1893"/>
      <c r="E10" s="2916"/>
      <c r="F10" s="2916"/>
      <c r="G10" s="2916"/>
      <c r="H10" s="2916"/>
      <c r="I10" s="2727"/>
      <c r="J10" s="2727"/>
      <c r="K10" s="2727"/>
      <c r="L10" s="2753"/>
      <c r="M10" s="1936"/>
      <c r="N10" s="1135"/>
      <c r="O10" s="953"/>
      <c r="P10" s="953"/>
      <c r="Q10" s="2883"/>
      <c r="R10" s="2883"/>
      <c r="S10" s="2883"/>
      <c r="T10" s="983"/>
      <c r="U10" s="1968"/>
      <c r="V10" s="926"/>
      <c r="W10" s="926"/>
      <c r="X10" s="951"/>
      <c r="Y10" s="951"/>
      <c r="Z10" s="951"/>
      <c r="AA10" s="951"/>
      <c r="AB10" s="2032" t="str">
        <f>AC8&amp;"-"&amp;AE8</f>
        <v>-</v>
      </c>
      <c r="AC10" s="2935"/>
      <c r="AD10" s="2733"/>
      <c r="AE10" s="2935"/>
      <c r="AF10" s="2733"/>
      <c r="AG10" s="2008"/>
      <c r="AH10" s="951"/>
      <c r="AI10" s="951"/>
      <c r="AJ10" s="951"/>
      <c r="AK10" s="954" t="str">
        <f>AL8&amp;"-"&amp;AN8</f>
        <v>-</v>
      </c>
      <c r="AL10" s="2935"/>
      <c r="AM10" s="2733"/>
      <c r="AN10" s="2935"/>
      <c r="AO10" s="2733"/>
      <c r="AP10" s="951"/>
      <c r="AQ10" s="2880"/>
      <c r="AS10" s="1126"/>
      <c r="AT10" s="1126" t="str">
        <f>IF(V10="","",V10)</f>
        <v/>
      </c>
      <c r="AU10" s="1126"/>
      <c r="AV10" s="1126"/>
      <c r="AW10" s="1781">
        <v>0</v>
      </c>
    </row>
    <row customHeight="1" ht="11.25" hidden="1">
      <c r="A11" s="1893"/>
      <c r="B11" s="1893"/>
      <c r="C11" s="1893"/>
      <c r="D11" s="1893"/>
      <c r="E11" s="2916"/>
      <c r="F11" s="2916"/>
      <c r="G11" s="2916"/>
      <c r="H11" s="2916"/>
      <c r="I11" s="2727"/>
      <c r="J11" s="2727"/>
      <c r="K11" s="2753"/>
      <c r="L11" s="1893"/>
      <c r="M11" s="1936"/>
      <c r="N11" s="1135"/>
      <c r="O11" s="953"/>
      <c r="P11" s="953"/>
      <c r="Q11" s="2883"/>
      <c r="R11" s="2883"/>
      <c r="S11" s="2883"/>
      <c r="T11" s="983"/>
      <c r="U11" s="1904"/>
      <c r="V11" s="914" t="s">
        <v>472</v>
      </c>
      <c r="W11" s="2018"/>
      <c r="X11" s="2019"/>
      <c r="Y11" s="2019"/>
      <c r="Z11" s="2019"/>
      <c r="AA11" s="2019"/>
      <c r="AB11" s="2020"/>
      <c r="AC11" s="2935"/>
      <c r="AD11" s="2733"/>
      <c r="AE11" s="2935"/>
      <c r="AF11" s="2733"/>
      <c r="AG11" s="2019"/>
      <c r="AH11" s="2019"/>
      <c r="AI11" s="2019"/>
      <c r="AJ11" s="2019"/>
      <c r="AK11" s="2020"/>
      <c r="AL11" s="2935"/>
      <c r="AM11" s="2733"/>
      <c r="AN11" s="2935"/>
      <c r="AO11" s="2733"/>
      <c r="AP11" s="2021"/>
      <c r="AQ11" s="2880"/>
      <c r="AS11" s="1126"/>
      <c r="AT11" s="1126"/>
      <c r="AU11" s="1126"/>
      <c r="AV11" s="1126"/>
      <c r="AW11" s="1781">
        <v>0</v>
      </c>
    </row>
    <row customHeight="1" ht="15" hidden="1">
      <c r="A12" s="1893"/>
      <c r="B12" s="1893"/>
      <c r="C12" s="1893"/>
      <c r="D12" s="1893"/>
      <c r="E12" s="2916"/>
      <c r="F12" s="2916"/>
      <c r="G12" s="2916"/>
      <c r="H12" s="2916"/>
      <c r="I12" s="2727"/>
      <c r="J12" s="2753"/>
      <c r="K12" s="1893"/>
      <c r="L12" s="1893"/>
      <c r="M12" s="1936"/>
      <c r="N12" s="1135"/>
      <c r="O12" s="953"/>
      <c r="Q12" s="2883"/>
      <c r="R12" s="2883"/>
      <c r="S12" s="1957"/>
      <c r="T12" s="982"/>
      <c r="U12" s="1904"/>
      <c r="V12" s="913" t="s">
        <v>429</v>
      </c>
      <c r="W12" s="993"/>
      <c r="X12" s="993"/>
      <c r="Y12" s="993"/>
      <c r="Z12" s="993"/>
      <c r="AA12" s="993"/>
      <c r="AB12" s="993"/>
      <c r="AC12" s="2034"/>
      <c r="AD12" s="2034"/>
      <c r="AE12" s="2034"/>
      <c r="AF12" s="2034"/>
      <c r="AG12" s="993"/>
      <c r="AH12" s="993"/>
      <c r="AI12" s="993"/>
      <c r="AJ12" s="993"/>
      <c r="AK12" s="993"/>
      <c r="AL12" s="993"/>
      <c r="AM12" s="993"/>
      <c r="AN12" s="993"/>
      <c r="AO12" s="993"/>
      <c r="AP12" s="950"/>
      <c r="AQ12" s="2881"/>
      <c r="AS12" s="1126"/>
      <c r="AT12" s="1126" t="str">
        <f>IF(V12="","",V12)</f>
        <v>Добавить вид теплоносителя (параметры теплоносителя)</v>
      </c>
      <c r="AU12" s="1126"/>
      <c r="AV12" s="1126"/>
      <c r="AW12" s="1781">
        <v>0</v>
      </c>
    </row>
    <row customHeight="1" ht="11.25" hidden="1">
      <c r="A13" s="1893"/>
      <c r="B13" s="1893"/>
      <c r="C13" s="1893"/>
      <c r="D13" s="1893"/>
      <c r="E13" s="2916"/>
      <c r="F13" s="2916"/>
      <c r="G13" s="2916"/>
      <c r="H13" s="2916"/>
      <c r="I13" s="2753"/>
      <c r="J13" s="1893"/>
      <c r="K13" s="1893"/>
      <c r="L13" s="1893"/>
      <c r="M13" s="1936"/>
      <c r="N13" s="1135"/>
      <c r="Q13" s="2883"/>
      <c r="R13" s="1957"/>
      <c r="S13" s="1957"/>
      <c r="T13" s="982"/>
      <c r="U13" s="1904"/>
      <c r="V13" s="991" t="s">
        <v>430</v>
      </c>
      <c r="W13" s="993"/>
      <c r="X13" s="993"/>
      <c r="Y13" s="993"/>
      <c r="Z13" s="993"/>
      <c r="AA13" s="993"/>
      <c r="AB13" s="993"/>
      <c r="AC13" s="993"/>
      <c r="AD13" s="993"/>
      <c r="AE13" s="993"/>
      <c r="AF13" s="992"/>
      <c r="AG13" s="993"/>
      <c r="AH13" s="993"/>
      <c r="AI13" s="993"/>
      <c r="AJ13" s="993"/>
      <c r="AK13" s="993"/>
      <c r="AL13" s="993"/>
      <c r="AM13" s="993"/>
      <c r="AN13" s="993"/>
      <c r="AO13" s="992"/>
      <c r="AP13" s="993"/>
      <c r="AQ13" s="929"/>
      <c r="AS13" s="1126"/>
      <c r="AT13" s="1126" t="str">
        <f>IF(V13="","",V13)</f>
        <v>Добавить группу потребителей</v>
      </c>
      <c r="AU13" s="1126"/>
      <c r="AV13" s="1126"/>
      <c r="AW13" s="1781">
        <v>0</v>
      </c>
    </row>
    <row customHeight="1" ht="14.25" hidden="1">
      <c r="A14" s="1893"/>
      <c r="B14" s="1893"/>
      <c r="C14" s="1893"/>
      <c r="D14" s="1893"/>
      <c r="E14" s="2916"/>
      <c r="F14" s="2916"/>
      <c r="G14" s="2916"/>
      <c r="H14" s="2915"/>
      <c r="I14" s="1893"/>
      <c r="J14" s="1893"/>
      <c r="K14" s="1893"/>
      <c r="L14" s="1893"/>
      <c r="M14" s="1936"/>
      <c r="N14" s="1314"/>
      <c r="O14" s="1314"/>
      <c r="P14" s="1135"/>
      <c r="Q14" s="986"/>
      <c r="R14" s="1001"/>
      <c r="S14" s="981"/>
      <c r="T14" s="986"/>
      <c r="U14" s="2012"/>
      <c r="V14" s="2013"/>
      <c r="W14" s="2014"/>
      <c r="X14" s="2014"/>
      <c r="Y14" s="2014"/>
      <c r="Z14" s="2014"/>
      <c r="AA14" s="2014"/>
      <c r="AB14" s="2014"/>
      <c r="AC14" s="2014"/>
      <c r="AD14" s="2014"/>
      <c r="AE14" s="2014"/>
      <c r="AF14" s="2014"/>
      <c r="AG14" s="2014"/>
      <c r="AH14" s="2014"/>
      <c r="AI14" s="2014"/>
      <c r="AJ14" s="2014"/>
      <c r="AK14" s="2014"/>
      <c r="AL14" s="2014"/>
      <c r="AM14" s="2014"/>
      <c r="AN14" s="2014"/>
      <c r="AO14" s="2014"/>
      <c r="AP14" s="2014"/>
      <c r="AQ14" s="2015"/>
      <c r="AS14" s="1126"/>
      <c r="AT14" s="1126" t="str">
        <f>IF(V14="","",V14)</f>
        <v/>
      </c>
      <c r="AU14" s="1126"/>
      <c r="AV14" s="1126"/>
      <c r="AW14" s="1781">
        <v>0</v>
      </c>
    </row>
    <row s="34658" customFormat="1" customHeight="1" ht="14.25" hidden="1">
      <c r="A15" s="2000"/>
      <c r="B15" s="2000"/>
      <c r="C15" s="2000"/>
      <c r="D15" s="2000"/>
      <c r="E15" s="2916"/>
      <c r="F15" s="2916"/>
      <c r="G15" s="2915"/>
      <c r="H15" s="2000"/>
      <c r="I15" s="2000"/>
      <c r="J15" s="2000"/>
      <c r="K15" s="2000"/>
      <c r="L15" s="2000"/>
      <c r="M15" s="2003"/>
      <c r="N15" s="2004"/>
      <c r="O15" s="2004"/>
      <c r="P15" s="977"/>
      <c r="Q15" s="1942"/>
      <c r="R15" s="1943"/>
      <c r="S15" s="1942"/>
      <c r="T15" s="1942"/>
      <c r="U15" s="1944"/>
      <c r="V15" s="1945" t="s">
        <v>432</v>
      </c>
      <c r="W15" s="1946"/>
      <c r="X15" s="1946"/>
      <c r="Y15" s="1946"/>
      <c r="Z15" s="1946"/>
      <c r="AA15" s="1946"/>
      <c r="AB15" s="1946"/>
      <c r="AC15" s="1946"/>
      <c r="AD15" s="1946"/>
      <c r="AE15" s="1946"/>
      <c r="AF15" s="1946"/>
      <c r="AG15" s="1946"/>
      <c r="AH15" s="1946"/>
      <c r="AI15" s="1946"/>
      <c r="AJ15" s="1946"/>
      <c r="AK15" s="1946"/>
      <c r="AL15" s="1946"/>
      <c r="AM15" s="1946"/>
      <c r="AN15" s="1946"/>
      <c r="AO15" s="1946"/>
      <c r="AP15" s="1946"/>
      <c r="AQ15" s="1946"/>
      <c r="AS15" s="1415"/>
      <c r="AT15" s="1415" t="str">
        <f>IF(V15="","",V15)</f>
        <v>Добавить источник для дифференциации</v>
      </c>
      <c r="AU15" s="1415"/>
      <c r="AV15" s="1415"/>
      <c r="AW15" s="1144">
        <v>0</v>
      </c>
    </row>
    <row s="34658" customFormat="1" customHeight="1" ht="14.25" hidden="1">
      <c r="A16" s="2000"/>
      <c r="B16" s="2000"/>
      <c r="C16" s="2000"/>
      <c r="D16" s="2000"/>
      <c r="E16" s="2916"/>
      <c r="F16" s="2915"/>
      <c r="G16" s="2000"/>
      <c r="H16" s="2000"/>
      <c r="I16" s="2000"/>
      <c r="J16" s="2000"/>
      <c r="K16" s="2000"/>
      <c r="L16" s="2000"/>
      <c r="M16" s="2003"/>
      <c r="N16" s="2005"/>
      <c r="O16" s="2005"/>
      <c r="P16" s="977"/>
      <c r="Q16" s="1942"/>
      <c r="R16" s="1943"/>
      <c r="S16" s="1942"/>
      <c r="T16" s="1942"/>
      <c r="U16" s="1948"/>
      <c r="V16" s="1949" t="s">
        <v>433</v>
      </c>
      <c r="W16" s="1950"/>
      <c r="X16" s="1950"/>
      <c r="Y16" s="1950"/>
      <c r="Z16" s="1950"/>
      <c r="AA16" s="1950"/>
      <c r="AB16" s="1950"/>
      <c r="AC16" s="1950"/>
      <c r="AD16" s="1950"/>
      <c r="AE16" s="1950"/>
      <c r="AF16" s="1950"/>
      <c r="AG16" s="1950"/>
      <c r="AH16" s="1950"/>
      <c r="AI16" s="1950"/>
      <c r="AJ16" s="1950"/>
      <c r="AK16" s="1950"/>
      <c r="AL16" s="1950"/>
      <c r="AM16" s="1950"/>
      <c r="AN16" s="1950"/>
      <c r="AO16" s="1950"/>
      <c r="AP16" s="1950"/>
      <c r="AQ16" s="1950"/>
      <c r="AS16" s="1415"/>
      <c r="AT16" s="1415" t="str">
        <f>IF(V16="","",V16)</f>
        <v>Добавить централизованную систему для дифференциации</v>
      </c>
      <c r="AU16" s="1415"/>
      <c r="AV16" s="1415"/>
      <c r="AW16" s="1144">
        <v>0</v>
      </c>
    </row>
    <row s="34658" customFormat="1" customHeight="1" ht="14.25" hidden="1">
      <c r="A17" s="2000"/>
      <c r="B17" s="2000"/>
      <c r="C17" s="2000"/>
      <c r="D17" s="2000"/>
      <c r="E17" s="2915"/>
      <c r="F17" s="2000"/>
      <c r="G17" s="2000"/>
      <c r="H17" s="2000"/>
      <c r="I17" s="2000"/>
      <c r="J17" s="2000"/>
      <c r="K17" s="2000"/>
      <c r="L17" s="2000"/>
      <c r="M17" s="2003"/>
      <c r="N17" s="2005"/>
      <c r="O17" s="2005"/>
      <c r="P17" s="977"/>
      <c r="Q17" s="1942"/>
      <c r="R17" s="1943"/>
      <c r="S17" s="1942"/>
      <c r="T17" s="1942"/>
      <c r="U17" s="1948"/>
      <c r="V17" s="1951" t="s">
        <v>434</v>
      </c>
      <c r="W17" s="1950"/>
      <c r="X17" s="1950"/>
      <c r="Y17" s="1950"/>
      <c r="Z17" s="1950"/>
      <c r="AA17" s="1950"/>
      <c r="AB17" s="1950"/>
      <c r="AC17" s="1950"/>
      <c r="AD17" s="1950"/>
      <c r="AE17" s="1950"/>
      <c r="AF17" s="1950"/>
      <c r="AG17" s="1950"/>
      <c r="AH17" s="1950"/>
      <c r="AI17" s="1950"/>
      <c r="AJ17" s="1950"/>
      <c r="AK17" s="1950"/>
      <c r="AL17" s="1950"/>
      <c r="AM17" s="1950"/>
      <c r="AN17" s="1950"/>
      <c r="AO17" s="1950"/>
      <c r="AP17" s="1950"/>
      <c r="AQ17" s="1950"/>
      <c r="AS17" s="1415"/>
      <c r="AT17" s="1415" t="str">
        <f>IF(V17="","",V17)</f>
        <v>Добавить территорию для дифференциации</v>
      </c>
      <c r="AU17" s="1415"/>
      <c r="AV17" s="1415"/>
      <c r="AW17" s="1144">
        <v>0</v>
      </c>
    </row>
    <row customHeight="1" ht="14.25" hidden="1">
      <c r="AF18" s="953"/>
      <c r="AO18" s="953"/>
      <c r="AW18" s="1781">
        <v>0</v>
      </c>
    </row>
    <row customHeight="1" ht="14.25" hidden="1">
      <c r="AG19" s="1986"/>
      <c r="AH19" s="1986"/>
      <c r="AI19" s="1986"/>
      <c r="AJ19" s="1986"/>
      <c r="AK19" s="1987"/>
      <c r="AL19" s="2893"/>
      <c r="AM19" s="2894" t="s">
        <v>66</v>
      </c>
      <c r="AN19" s="2893"/>
      <c r="AO19" s="2894" t="s">
        <v>66</v>
      </c>
      <c r="AW19" s="1781">
        <v>0</v>
      </c>
    </row>
    <row customHeight="1" ht="14.25" hidden="1">
      <c r="AG20" s="1986"/>
      <c r="AH20" s="1986"/>
      <c r="AI20" s="1986"/>
      <c r="AJ20" s="1986"/>
      <c r="AK20" s="1987"/>
      <c r="AL20" s="2893"/>
      <c r="AM20" s="2894"/>
      <c r="AN20" s="2893"/>
      <c r="AO20" s="2894"/>
      <c r="AW20" s="1781">
        <v>0</v>
      </c>
    </row>
    <row customHeight="1" ht="14.25" hidden="1">
      <c r="AG21" s="1986"/>
      <c r="AH21" s="1986"/>
      <c r="AI21" s="1986"/>
      <c r="AJ21" s="1986"/>
      <c r="AK21" s="1987"/>
      <c r="AL21" s="2893"/>
      <c r="AM21" s="2894"/>
      <c r="AN21" s="2893"/>
      <c r="AO21" s="2894"/>
      <c r="AW21" s="1781">
        <v>0</v>
      </c>
    </row>
    <row customHeight="1" ht="14.25" hidden="1">
      <c r="AG22" s="1986"/>
      <c r="AH22" s="1986"/>
      <c r="AI22" s="1986"/>
      <c r="AJ22" s="1986"/>
      <c r="AK22" s="954" t="str">
        <f>AL19&amp;"-"&amp;AN19</f>
        <v>-</v>
      </c>
      <c r="AL22" s="2894"/>
      <c r="AM22" s="2894"/>
      <c r="AN22" s="2894"/>
      <c r="AO22" s="2894"/>
      <c r="AW22" s="1781">
        <v>0</v>
      </c>
    </row>
    <row customHeight="1" ht="14.25" hidden="1">
      <c r="AO23" s="953"/>
      <c r="AW23" s="1781">
        <v>0</v>
      </c>
    </row>
    <row s="34657" customFormat="1" customHeight="1" ht="22.5" hidden="1">
      <c r="A24" s="1781"/>
      <c r="B24" s="1781"/>
      <c r="C24" s="1781"/>
      <c r="D24" s="1781"/>
      <c r="E24" s="1781"/>
      <c r="F24" s="1781"/>
      <c r="G24" s="1781"/>
      <c r="H24" s="1781"/>
      <c r="I24" s="1781"/>
      <c r="J24" s="1781"/>
      <c r="K24" s="1781"/>
      <c r="L24" s="1781"/>
      <c r="M24" s="1953"/>
      <c r="N24" s="1954"/>
      <c r="O24" s="1954"/>
      <c r="P24" s="1971" t="s">
        <v>435</v>
      </c>
      <c r="Q24" s="1988"/>
      <c r="R24" s="1997"/>
      <c r="S24" s="1997"/>
      <c r="T24" s="1997"/>
      <c r="U24" s="1355"/>
      <c r="AC24" s="1993"/>
      <c r="AE24" s="1993"/>
      <c r="AF24" s="1992"/>
      <c r="AL24" s="1993"/>
      <c r="AN24" s="1993"/>
      <c r="AO24" s="1992"/>
      <c r="AR24" s="1137"/>
      <c r="AS24" s="1137"/>
      <c r="AT24" s="1137"/>
      <c r="AU24" s="1137"/>
      <c r="AV24" s="1137"/>
      <c r="AW24" s="1786">
        <v>0</v>
      </c>
    </row>
    <row s="34657" customFormat="1" customHeight="1" ht="14.25" hidden="1">
      <c r="A25" s="1781"/>
      <c r="B25" s="1781"/>
      <c r="C25" s="1781"/>
      <c r="D25" s="1781"/>
      <c r="E25" s="1781"/>
      <c r="F25" s="1781"/>
      <c r="G25" s="1781"/>
      <c r="H25" s="1781"/>
      <c r="I25" s="1781"/>
      <c r="J25" s="1781"/>
      <c r="K25" s="1781"/>
      <c r="L25" s="1781"/>
      <c r="M25" s="1953"/>
      <c r="N25" s="1954"/>
      <c r="O25" s="1954"/>
      <c r="P25" s="1954"/>
      <c r="Q25" s="1988"/>
      <c r="R25" s="1997"/>
      <c r="S25" s="1997"/>
      <c r="T25" s="1997"/>
      <c r="U25" s="1355"/>
      <c r="AF25" s="1992"/>
      <c r="AO25" s="1992"/>
      <c r="AR25" s="1137"/>
      <c r="AS25" s="1137"/>
      <c r="AT25" s="1137"/>
      <c r="AU25" s="1137"/>
      <c r="AV25" s="1137"/>
      <c r="AW25" s="1786">
        <v>0</v>
      </c>
    </row>
    <row s="34657" customFormat="1" customHeight="1" ht="14.25" hidden="1">
      <c r="A26" s="1781"/>
      <c r="B26" s="1781"/>
      <c r="C26" s="1781"/>
      <c r="D26" s="1781"/>
      <c r="E26" s="1781"/>
      <c r="F26" s="1781"/>
      <c r="G26" s="1781"/>
      <c r="H26" s="1781"/>
      <c r="I26" s="1781"/>
      <c r="J26" s="1781"/>
      <c r="K26" s="1781"/>
      <c r="L26" s="1781"/>
      <c r="M26" s="1953"/>
      <c r="N26" s="1954"/>
      <c r="O26" s="1954"/>
      <c r="P26" s="1936" t="s">
        <v>436</v>
      </c>
      <c r="Q26" s="1988"/>
      <c r="R26" s="1997"/>
      <c r="S26" s="1997"/>
      <c r="T26" s="1997"/>
      <c r="U26" s="1355"/>
      <c r="V26" s="1786" t="s">
        <v>437</v>
      </c>
      <c r="AD26" s="812" t="s">
        <v>438</v>
      </c>
      <c r="AF26" s="812" t="s">
        <v>439</v>
      </c>
      <c r="AG26" s="1786" t="s">
        <v>437</v>
      </c>
      <c r="AM26" s="812" t="s">
        <v>440</v>
      </c>
      <c r="AO26" s="812" t="s">
        <v>439</v>
      </c>
      <c r="AR26" s="1137"/>
      <c r="AS26" s="1137"/>
      <c r="AT26" s="1137"/>
      <c r="AU26" s="1137"/>
      <c r="AV26" s="1137"/>
      <c r="AW26" s="1786">
        <v>0</v>
      </c>
    </row>
    <row customHeight="1" ht="14.25" hidden="1">
      <c r="P27" s="1936"/>
      <c r="AW27" s="1781">
        <v>0</v>
      </c>
    </row>
    <row customHeight="1" ht="14.25" hidden="1">
      <c r="P28" s="1936"/>
      <c r="AW28" s="1781">
        <v>0</v>
      </c>
    </row>
    <row customHeight="1" ht="14.699999999999998">
      <c r="R29" s="1002"/>
      <c r="S29" s="1002"/>
      <c r="T29" s="1002"/>
      <c r="U29" s="1901"/>
      <c r="V29" s="989"/>
      <c r="W29" s="989"/>
      <c r="X29" s="1135"/>
      <c r="Y29" s="1135"/>
      <c r="Z29" s="1135"/>
      <c r="AA29" s="1135"/>
      <c r="AB29" s="1135"/>
      <c r="AC29" s="1135"/>
      <c r="AD29" s="1135"/>
      <c r="AE29" s="1135"/>
      <c r="AF29" s="1135"/>
      <c r="AG29" s="1135"/>
      <c r="AH29" s="1135"/>
      <c r="AI29" s="1135"/>
      <c r="AJ29" s="1135"/>
      <c r="AK29" s="1135"/>
      <c r="AL29" s="1135"/>
      <c r="AM29" s="1135"/>
      <c r="AN29" s="1135"/>
      <c r="AO29" s="1135"/>
      <c r="AW29" s="1781">
        <v>14</v>
      </c>
    </row>
    <row customHeight="1" ht="56.699999999999996">
      <c r="R30" s="1002"/>
      <c r="S30" s="1002"/>
      <c r="T30" s="1002"/>
      <c r="U30" s="28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74"/>
      <c r="W30" s="2874"/>
      <c r="X30" s="2874"/>
      <c r="Y30" s="2874"/>
      <c r="Z30" s="2874"/>
      <c r="AA30" s="2874"/>
      <c r="AB30" s="2874"/>
      <c r="AC30" s="2874"/>
      <c r="AD30" s="2874"/>
      <c r="AE30" s="2874"/>
      <c r="AF30" s="2874"/>
      <c r="AG30" s="2874"/>
      <c r="AH30" s="2874"/>
      <c r="AI30" s="2874"/>
      <c r="AJ30" s="2874"/>
      <c r="AK30" s="2874"/>
      <c r="AL30" s="2874"/>
      <c r="AM30" s="2874"/>
      <c r="AN30" s="2874"/>
      <c r="AO30" s="1869"/>
      <c r="AW30" s="1781">
        <v>54</v>
      </c>
    </row>
    <row customHeight="1" ht="14.699999999999998">
      <c r="R31" s="1002"/>
      <c r="S31" s="1002"/>
      <c r="T31" s="1002"/>
      <c r="U31" s="2875" t="str">
        <f>IF(org=0,"Не определено",org)</f>
        <v>АО "ДГК"</v>
      </c>
      <c r="V31" s="2875"/>
      <c r="W31" s="2875"/>
      <c r="X31" s="2875"/>
      <c r="Y31" s="2875"/>
      <c r="Z31" s="2875"/>
      <c r="AA31" s="2875"/>
      <c r="AB31" s="2875"/>
      <c r="AC31" s="2875"/>
      <c r="AD31" s="2875"/>
      <c r="AE31" s="2875"/>
      <c r="AF31" s="2875"/>
      <c r="AG31" s="2875"/>
      <c r="AH31" s="2875"/>
      <c r="AI31" s="2875"/>
      <c r="AJ31" s="2875"/>
      <c r="AK31" s="2875"/>
      <c r="AL31" s="2875"/>
      <c r="AM31" s="2875"/>
      <c r="AN31" s="2875"/>
      <c r="AO31" s="1869"/>
      <c r="AW31" s="1781">
        <v>14</v>
      </c>
    </row>
    <row customHeight="1" ht="14.25" hidden="1">
      <c r="R32" s="1002"/>
      <c r="S32" s="1002"/>
      <c r="T32" s="1002"/>
      <c r="U32" s="1901"/>
      <c r="V32" s="989"/>
      <c r="W32" s="989"/>
      <c r="X32" s="948"/>
      <c r="Y32" s="948"/>
      <c r="Z32" s="948"/>
      <c r="AA32" s="948"/>
      <c r="AB32" s="948"/>
      <c r="AC32" s="948"/>
      <c r="AD32" s="948"/>
      <c r="AE32" s="948"/>
      <c r="AF32" s="948"/>
      <c r="AG32" s="948"/>
      <c r="AH32" s="948"/>
      <c r="AI32" s="948"/>
      <c r="AJ32" s="948"/>
      <c r="AK32" s="948"/>
      <c r="AL32" s="948"/>
      <c r="AM32" s="948"/>
      <c r="AN32" s="948"/>
      <c r="AO32" s="948"/>
      <c r="AP32" s="1135"/>
      <c r="AW32" s="1781">
        <v>0</v>
      </c>
    </row>
    <row s="34794" customFormat="1" customHeight="1" ht="25.5" hidden="1">
      <c r="A33" s="1874"/>
      <c r="B33" s="1874"/>
      <c r="C33" s="1874"/>
      <c r="D33" s="1874"/>
      <c r="E33" s="1874"/>
      <c r="F33" s="1874"/>
      <c r="G33" s="1874"/>
      <c r="H33" s="1874"/>
      <c r="I33" s="1874"/>
      <c r="J33" s="1874"/>
      <c r="K33" s="1874"/>
      <c r="L33" s="1874"/>
      <c r="M33" s="2006"/>
      <c r="N33" s="1874"/>
      <c r="O33" s="1874"/>
      <c r="P33" s="1874"/>
      <c r="U33" s="2876" t="s">
        <v>42</v>
      </c>
      <c r="V33" s="2876"/>
      <c r="W33" s="1998"/>
      <c r="X33" s="2877" t="str">
        <f>IF(TITLE_NAME_OR_PR_CHANGE="",IF(TITLE_NAME_OR_PR="","",TITLE_NAME_OR_PR),TITLE_NAME_OR_PR_CHANGE)</f>
        <v/>
      </c>
      <c r="Y33" s="2877"/>
      <c r="Z33" s="2877"/>
      <c r="AA33" s="2877"/>
      <c r="AB33" s="2877"/>
      <c r="AC33" s="2877"/>
      <c r="AD33" s="2877"/>
      <c r="AE33" s="2877"/>
      <c r="AF33" s="952"/>
      <c r="AG33" s="2877" t="str">
        <f>IF(TITLE_NAME_OR_PR_CHANGE="",IF(TITLE_NAME_OR_PR="","",TITLE_NAME_OR_PR),TITLE_NAME_OR_PR_CHANGE)</f>
        <v/>
      </c>
      <c r="AH33" s="2877"/>
      <c r="AI33" s="2877"/>
      <c r="AJ33" s="2877"/>
      <c r="AK33" s="2877"/>
      <c r="AL33" s="2877"/>
      <c r="AM33" s="2877"/>
      <c r="AN33" s="2877"/>
      <c r="AO33" s="952"/>
      <c r="AP33" s="952"/>
      <c r="AQ33" s="906"/>
      <c r="AR33" s="994"/>
      <c r="AS33" s="994"/>
      <c r="AT33" s="994"/>
      <c r="AU33" s="994"/>
      <c r="AV33" s="994"/>
      <c r="AW33" s="1044">
        <v>0</v>
      </c>
    </row>
    <row s="34794" customFormat="1" customHeight="1" ht="18.75" hidden="1">
      <c r="A34" s="1874"/>
      <c r="B34" s="1874"/>
      <c r="C34" s="1874"/>
      <c r="D34" s="1874"/>
      <c r="E34" s="1874"/>
      <c r="F34" s="1874"/>
      <c r="G34" s="1874"/>
      <c r="H34" s="1874"/>
      <c r="I34" s="1874"/>
      <c r="J34" s="1874"/>
      <c r="K34" s="1874"/>
      <c r="L34" s="1874"/>
      <c r="M34" s="2006"/>
      <c r="N34" s="1874"/>
      <c r="O34" s="1874"/>
      <c r="P34" s="1874"/>
      <c r="U34" s="2876" t="s">
        <v>441</v>
      </c>
      <c r="V34" s="2876"/>
      <c r="W34" s="1998"/>
      <c r="X34" s="2890" t="str">
        <f>IF(TITLE_DATE_PR_CHANGE="",IF(TITLE_DATE_PR="","",TITLE_DATE_PR),TITLE_DATE_PR_CHANGE)</f>
        <v/>
      </c>
      <c r="Y34" s="2890"/>
      <c r="Z34" s="2890"/>
      <c r="AA34" s="2890"/>
      <c r="AB34" s="2890"/>
      <c r="AC34" s="2890"/>
      <c r="AD34" s="2890"/>
      <c r="AE34" s="2890"/>
      <c r="AF34" s="952"/>
      <c r="AG34" s="2890" t="str">
        <f>IF(TITLE_DATE_PR_CHANGE="",IF(TITLE_DATE_PR="","",TITLE_DATE_PR),TITLE_DATE_PR_CHANGE)</f>
        <v/>
      </c>
      <c r="AH34" s="2890"/>
      <c r="AI34" s="2890"/>
      <c r="AJ34" s="2890"/>
      <c r="AK34" s="2890"/>
      <c r="AL34" s="2890"/>
      <c r="AM34" s="2890"/>
      <c r="AN34" s="2890"/>
      <c r="AO34" s="952"/>
      <c r="AP34" s="952"/>
      <c r="AQ34" s="906"/>
      <c r="AR34" s="994"/>
      <c r="AS34" s="994"/>
      <c r="AT34" s="994"/>
      <c r="AU34" s="994"/>
      <c r="AV34" s="994"/>
      <c r="AW34" s="1044">
        <v>0</v>
      </c>
    </row>
    <row s="34794" customFormat="1" customHeight="1" ht="18.75" hidden="1">
      <c r="A35" s="1874"/>
      <c r="B35" s="1874"/>
      <c r="C35" s="1874"/>
      <c r="D35" s="1874"/>
      <c r="E35" s="1874"/>
      <c r="F35" s="1874"/>
      <c r="G35" s="1874"/>
      <c r="H35" s="1874"/>
      <c r="I35" s="1874"/>
      <c r="J35" s="1874"/>
      <c r="K35" s="1874"/>
      <c r="L35" s="1874"/>
      <c r="M35" s="2006"/>
      <c r="N35" s="1874"/>
      <c r="O35" s="1874"/>
      <c r="P35" s="1874"/>
      <c r="U35" s="2876" t="s">
        <v>442</v>
      </c>
      <c r="V35" s="2876"/>
      <c r="W35" s="1998"/>
      <c r="X35" s="2877" t="str">
        <f>IF(TITLE_NUMBER_PR_CHANGE="",IF(TITLE_NUMBER_PR="","",TITLE_NUMBER_PR),TITLE_NUMBER_PR_CHANGE)</f>
        <v/>
      </c>
      <c r="Y35" s="2877"/>
      <c r="Z35" s="2877"/>
      <c r="AA35" s="2877"/>
      <c r="AB35" s="2877"/>
      <c r="AC35" s="2877"/>
      <c r="AD35" s="2877"/>
      <c r="AE35" s="2877"/>
      <c r="AF35" s="952"/>
      <c r="AG35" s="2877" t="str">
        <f>IF(TITLE_NUMBER_PR_CHANGE="",IF(TITLE_NUMBER_PR="","",TITLE_NUMBER_PR),TITLE_NUMBER_PR_CHANGE)</f>
        <v/>
      </c>
      <c r="AH35" s="2877"/>
      <c r="AI35" s="2877"/>
      <c r="AJ35" s="2877"/>
      <c r="AK35" s="2877"/>
      <c r="AL35" s="2877"/>
      <c r="AM35" s="2877"/>
      <c r="AN35" s="2877"/>
      <c r="AO35" s="952"/>
      <c r="AP35" s="952"/>
      <c r="AQ35" s="906"/>
      <c r="AR35" s="994"/>
      <c r="AS35" s="994"/>
      <c r="AT35" s="994"/>
      <c r="AU35" s="994"/>
      <c r="AV35" s="994"/>
      <c r="AW35" s="1044">
        <v>0</v>
      </c>
    </row>
    <row s="34794" customFormat="1" customHeight="1" ht="18.75" hidden="1">
      <c r="A36" s="1874"/>
      <c r="B36" s="1874"/>
      <c r="C36" s="1874"/>
      <c r="D36" s="1874"/>
      <c r="E36" s="1874"/>
      <c r="F36" s="1874"/>
      <c r="G36" s="1874"/>
      <c r="H36" s="1874"/>
      <c r="I36" s="1874"/>
      <c r="J36" s="1874"/>
      <c r="K36" s="1874"/>
      <c r="L36" s="1874"/>
      <c r="M36" s="2006"/>
      <c r="N36" s="1874"/>
      <c r="O36" s="1874"/>
      <c r="P36" s="1874"/>
      <c r="U36" s="2876" t="s">
        <v>43</v>
      </c>
      <c r="V36" s="2876"/>
      <c r="W36" s="1998"/>
      <c r="X36" s="2877" t="str">
        <f>IF(TITLE_IST_PUB_CHANGE="",IF(TITLE_IST_PUB="","",TITLE_IST_PUB),TITLE_IST_PUB_CHANGE)</f>
        <v/>
      </c>
      <c r="Y36" s="2877"/>
      <c r="Z36" s="2877"/>
      <c r="AA36" s="2877"/>
      <c r="AB36" s="2877"/>
      <c r="AC36" s="2877"/>
      <c r="AD36" s="2877"/>
      <c r="AE36" s="2877"/>
      <c r="AF36" s="952"/>
      <c r="AG36" s="2877" t="str">
        <f>IF(TITLE_IST_PUB_CHANGE="",IF(TITLE_IST_PUB="","",TITLE_IST_PUB),TITLE_IST_PUB_CHANGE)</f>
        <v/>
      </c>
      <c r="AH36" s="2877"/>
      <c r="AI36" s="2877"/>
      <c r="AJ36" s="2877"/>
      <c r="AK36" s="2877"/>
      <c r="AL36" s="2877"/>
      <c r="AM36" s="2877"/>
      <c r="AN36" s="2877"/>
      <c r="AO36" s="952"/>
      <c r="AP36" s="952"/>
      <c r="AQ36" s="906"/>
      <c r="AR36" s="994"/>
      <c r="AS36" s="994"/>
      <c r="AT36" s="994"/>
      <c r="AU36" s="994"/>
      <c r="AV36" s="994"/>
      <c r="AW36" s="1044">
        <v>0</v>
      </c>
    </row>
    <row customHeight="1" ht="14.25" hidden="1">
      <c r="R37" s="1002"/>
      <c r="S37" s="1002"/>
      <c r="T37" s="1002"/>
      <c r="U37" s="1901"/>
      <c r="V37" s="989"/>
      <c r="W37" s="989"/>
      <c r="X37" s="948"/>
      <c r="Y37" s="948"/>
      <c r="Z37" s="948"/>
      <c r="AA37" s="948"/>
      <c r="AB37" s="948"/>
      <c r="AC37" s="948"/>
      <c r="AD37" s="948"/>
      <c r="AE37" s="948"/>
      <c r="AF37" s="948"/>
      <c r="AG37" s="948"/>
      <c r="AH37" s="948"/>
      <c r="AI37" s="948"/>
      <c r="AJ37" s="948"/>
      <c r="AK37" s="948"/>
      <c r="AL37" s="948"/>
      <c r="AM37" s="948"/>
      <c r="AN37" s="948"/>
      <c r="AO37" s="948"/>
      <c r="AP37" s="1135"/>
      <c r="AW37" s="1781">
        <v>0</v>
      </c>
    </row>
    <row s="34794" customFormat="1" customHeight="1" ht="18.75" hidden="1">
      <c r="A38" s="1874"/>
      <c r="B38" s="1874"/>
      <c r="C38" s="1874"/>
      <c r="D38" s="1874"/>
      <c r="E38" s="1874"/>
      <c r="F38" s="1874"/>
      <c r="G38" s="1874"/>
      <c r="H38" s="1874"/>
      <c r="I38" s="1874"/>
      <c r="J38" s="1874"/>
      <c r="K38" s="1874"/>
      <c r="L38" s="1874"/>
      <c r="M38" s="2006"/>
      <c r="N38" s="1874"/>
      <c r="O38" s="1874"/>
      <c r="P38" s="1874"/>
      <c r="U38" s="2876" t="s">
        <v>443</v>
      </c>
      <c r="V38" s="2876"/>
      <c r="W38" s="1998"/>
      <c r="X38" s="2890" t="str">
        <f>IF(TITLE_DATE_PR_CHANGE="",IF(TITLE_DATE_PR="","",TITLE_DATE_PR),TITLE_DATE_PR_CHANGE)</f>
        <v/>
      </c>
      <c r="Y38" s="2890"/>
      <c r="Z38" s="2890"/>
      <c r="AA38" s="2890"/>
      <c r="AB38" s="2890"/>
      <c r="AC38" s="2890"/>
      <c r="AD38" s="2890"/>
      <c r="AE38" s="2890"/>
      <c r="AF38" s="952"/>
      <c r="AG38" s="2890" t="str">
        <f>IF(TITLE_DATE_PR_CHANGE="",IF(TITLE_DATE_PR="","",TITLE_DATE_PR),TITLE_DATE_PR_CHANGE)</f>
        <v/>
      </c>
      <c r="AH38" s="2890"/>
      <c r="AI38" s="2890"/>
      <c r="AJ38" s="2890"/>
      <c r="AK38" s="2890"/>
      <c r="AL38" s="2890"/>
      <c r="AM38" s="2890"/>
      <c r="AN38" s="2890"/>
      <c r="AO38" s="952"/>
      <c r="AP38" s="952"/>
      <c r="AQ38" s="906"/>
      <c r="AR38" s="994"/>
      <c r="AS38" s="994"/>
      <c r="AT38" s="994"/>
      <c r="AU38" s="994"/>
      <c r="AV38" s="994"/>
      <c r="AW38" s="1044">
        <v>0</v>
      </c>
    </row>
    <row s="34794" customFormat="1" customHeight="1" ht="18.75" hidden="1">
      <c r="A39" s="1874"/>
      <c r="B39" s="1874"/>
      <c r="C39" s="1874"/>
      <c r="D39" s="1874"/>
      <c r="E39" s="1874"/>
      <c r="F39" s="1874"/>
      <c r="G39" s="1874"/>
      <c r="H39" s="1874"/>
      <c r="I39" s="1874"/>
      <c r="J39" s="1874"/>
      <c r="K39" s="1874"/>
      <c r="L39" s="1874"/>
      <c r="M39" s="2006"/>
      <c r="N39" s="1874"/>
      <c r="O39" s="1874"/>
      <c r="P39" s="1874"/>
      <c r="U39" s="2876" t="s">
        <v>444</v>
      </c>
      <c r="V39" s="2876"/>
      <c r="W39" s="1998"/>
      <c r="X39" s="2877" t="str">
        <f>IF(TITLE_NUMBER_PR_CHANGE="",IF(TITLE_NUMBER_PR="","",TITLE_NUMBER_PR),TITLE_NUMBER_PR_CHANGE)</f>
        <v/>
      </c>
      <c r="Y39" s="2877"/>
      <c r="Z39" s="2877"/>
      <c r="AA39" s="2877"/>
      <c r="AB39" s="2877"/>
      <c r="AC39" s="2877"/>
      <c r="AD39" s="2877"/>
      <c r="AE39" s="2877"/>
      <c r="AF39" s="952"/>
      <c r="AG39" s="2877" t="str">
        <f>IF(TITLE_NUMBER_PR_CHANGE="",IF(TITLE_NUMBER_PR="","",TITLE_NUMBER_PR),TITLE_NUMBER_PR_CHANGE)</f>
        <v/>
      </c>
      <c r="AH39" s="2877"/>
      <c r="AI39" s="2877"/>
      <c r="AJ39" s="2877"/>
      <c r="AK39" s="2877"/>
      <c r="AL39" s="2877"/>
      <c r="AM39" s="2877"/>
      <c r="AN39" s="2877"/>
      <c r="AO39" s="952"/>
      <c r="AP39" s="952"/>
      <c r="AQ39" s="906"/>
      <c r="AR39" s="994"/>
      <c r="AS39" s="994"/>
      <c r="AT39" s="994"/>
      <c r="AU39" s="994"/>
      <c r="AV39" s="994"/>
      <c r="AW39" s="1044">
        <v>0</v>
      </c>
    </row>
    <row s="34794" customFormat="1" customHeight="1" ht="0">
      <c r="A40" s="1874"/>
      <c r="B40" s="1874"/>
      <c r="C40" s="1874"/>
      <c r="D40" s="1874"/>
      <c r="E40" s="1874"/>
      <c r="F40" s="1874"/>
      <c r="G40" s="1874"/>
      <c r="H40" s="1874"/>
      <c r="I40" s="1874"/>
      <c r="J40" s="1874"/>
      <c r="K40" s="1874"/>
      <c r="L40" s="1874"/>
      <c r="M40" s="2006"/>
      <c r="N40" s="1874"/>
      <c r="O40" s="1874"/>
      <c r="P40" s="1874"/>
      <c r="U40" s="949"/>
      <c r="V40" s="949"/>
      <c r="W40" s="1966"/>
      <c r="X40" s="952"/>
      <c r="Y40" s="952"/>
      <c r="Z40" s="952"/>
      <c r="AA40" s="952"/>
      <c r="AB40" s="952"/>
      <c r="AC40" s="952"/>
      <c r="AD40" s="952"/>
      <c r="AE40" s="952"/>
      <c r="AF40" s="904" t="s">
        <v>445</v>
      </c>
      <c r="AG40" s="952"/>
      <c r="AH40" s="952"/>
      <c r="AI40" s="952"/>
      <c r="AJ40" s="952"/>
      <c r="AK40" s="952"/>
      <c r="AL40" s="952"/>
      <c r="AM40" s="952"/>
      <c r="AN40" s="952"/>
      <c r="AO40" s="904" t="s">
        <v>445</v>
      </c>
      <c r="AR40" s="994"/>
      <c r="AS40" s="994"/>
      <c r="AT40" s="994"/>
      <c r="AU40" s="994"/>
      <c r="AV40" s="994"/>
      <c r="AW40" s="1044">
        <v>0</v>
      </c>
    </row>
    <row customHeight="1" ht="14.699999999999998">
      <c r="R41" s="1002"/>
      <c r="S41" s="1002"/>
      <c r="T41" s="1002"/>
      <c r="U41" s="1901"/>
      <c r="V41" s="989"/>
      <c r="W41" s="1870"/>
      <c r="X41" s="2878"/>
      <c r="Y41" s="2878"/>
      <c r="Z41" s="2878"/>
      <c r="AA41" s="2878"/>
      <c r="AB41" s="2878"/>
      <c r="AC41" s="2878"/>
      <c r="AD41" s="2878"/>
      <c r="AE41" s="2878"/>
      <c r="AF41" s="2878"/>
      <c r="AG41" s="2878"/>
      <c r="AH41" s="2878"/>
      <c r="AI41" s="2878"/>
      <c r="AJ41" s="2878"/>
      <c r="AK41" s="2878"/>
      <c r="AL41" s="2878"/>
      <c r="AM41" s="2878"/>
      <c r="AN41" s="2878"/>
      <c r="AO41" s="2878"/>
      <c r="AW41" s="1781">
        <v>14</v>
      </c>
    </row>
    <row customHeight="1" ht="14.699999999999998">
      <c r="R42" s="1002"/>
      <c r="S42" s="1002"/>
      <c r="T42" s="1002"/>
      <c r="U42" s="2753" t="s">
        <v>318</v>
      </c>
      <c r="V42" s="2753"/>
      <c r="W42" s="2753"/>
      <c r="X42" s="2753"/>
      <c r="Y42" s="2753"/>
      <c r="Z42" s="2753"/>
      <c r="AA42" s="2753"/>
      <c r="AB42" s="2753"/>
      <c r="AC42" s="2753"/>
      <c r="AD42" s="2753"/>
      <c r="AE42" s="2753"/>
      <c r="AF42" s="2753"/>
      <c r="AG42" s="2753"/>
      <c r="AH42" s="2753"/>
      <c r="AI42" s="2753"/>
      <c r="AJ42" s="2753"/>
      <c r="AK42" s="2753"/>
      <c r="AL42" s="2753"/>
      <c r="AM42" s="2753"/>
      <c r="AN42" s="2753"/>
      <c r="AO42" s="2753"/>
      <c r="AP42" s="2753"/>
      <c r="AQ42" s="2753" t="s">
        <v>319</v>
      </c>
      <c r="AW42" s="1781">
        <v>14</v>
      </c>
    </row>
    <row customHeight="1" ht="14.699999999999998">
      <c r="R43" s="1002"/>
      <c r="S43" s="1002"/>
      <c r="T43" s="1002"/>
      <c r="U43" s="2899" t="s">
        <v>88</v>
      </c>
      <c r="V43" s="2835" t="s">
        <v>446</v>
      </c>
      <c r="W43" s="927"/>
      <c r="X43" s="2900" t="s">
        <v>447</v>
      </c>
      <c r="Y43" s="2917"/>
      <c r="Z43" s="2917"/>
      <c r="AA43" s="2917"/>
      <c r="AB43" s="2917"/>
      <c r="AC43" s="2901"/>
      <c r="AD43" s="2901"/>
      <c r="AE43" s="2902"/>
      <c r="AF43" s="2903" t="s">
        <v>448</v>
      </c>
      <c r="AG43" s="2900" t="s">
        <v>447</v>
      </c>
      <c r="AH43" s="2917"/>
      <c r="AI43" s="2917"/>
      <c r="AJ43" s="2917"/>
      <c r="AK43" s="2917"/>
      <c r="AL43" s="2901"/>
      <c r="AM43" s="2901"/>
      <c r="AN43" s="2902"/>
      <c r="AO43" s="2903" t="s">
        <v>449</v>
      </c>
      <c r="AP43" s="2906" t="s">
        <v>450</v>
      </c>
      <c r="AQ43" s="2753"/>
      <c r="AW43" s="1781">
        <v>14</v>
      </c>
    </row>
    <row customHeight="1" ht="35.699999999999996">
      <c r="R44" s="1002"/>
      <c r="S44" s="1002"/>
      <c r="T44" s="1002"/>
      <c r="U44" s="2899"/>
      <c r="V44" s="2835"/>
      <c r="W44" s="1657"/>
      <c r="X44" s="2920" t="s">
        <v>473</v>
      </c>
      <c r="Y44" s="2938" t="s">
        <v>474</v>
      </c>
      <c r="Z44" s="2938"/>
      <c r="AA44" s="2938"/>
      <c r="AB44" s="2938"/>
      <c r="AC44" s="2920" t="s">
        <v>454</v>
      </c>
      <c r="AD44" s="3237"/>
      <c r="AE44" s="2940"/>
      <c r="AF44" s="2904"/>
      <c r="AG44" s="2920" t="s">
        <v>473</v>
      </c>
      <c r="AH44" s="2938" t="s">
        <v>474</v>
      </c>
      <c r="AI44" s="2938"/>
      <c r="AJ44" s="2938"/>
      <c r="AK44" s="2938"/>
      <c r="AL44" s="2920" t="s">
        <v>454</v>
      </c>
      <c r="AM44" s="3237"/>
      <c r="AN44" s="2940"/>
      <c r="AO44" s="2904"/>
      <c r="AP44" s="2907"/>
      <c r="AQ44" s="2753"/>
      <c r="AW44" s="1781">
        <v>34</v>
      </c>
    </row>
    <row customHeight="1" ht="14.699999999999998">
      <c r="R45" s="1002"/>
      <c r="S45" s="1002"/>
      <c r="T45" s="1002"/>
      <c r="U45" s="2899"/>
      <c r="V45" s="2835"/>
      <c r="W45" s="1657"/>
      <c r="X45" s="2951"/>
      <c r="Y45" s="2943" t="s">
        <v>475</v>
      </c>
      <c r="Z45" s="2896" t="s">
        <v>476</v>
      </c>
      <c r="AA45" s="2946"/>
      <c r="AB45" s="2897"/>
      <c r="AC45" s="2921"/>
      <c r="AD45" s="3238"/>
      <c r="AE45" s="2942"/>
      <c r="AF45" s="2904"/>
      <c r="AG45" s="2951"/>
      <c r="AH45" s="2943" t="s">
        <v>475</v>
      </c>
      <c r="AI45" s="2896" t="s">
        <v>476</v>
      </c>
      <c r="AJ45" s="2946"/>
      <c r="AK45" s="2897"/>
      <c r="AL45" s="2921"/>
      <c r="AM45" s="3238"/>
      <c r="AN45" s="2942"/>
      <c r="AO45" s="2904"/>
      <c r="AP45" s="2907"/>
      <c r="AQ45" s="2753"/>
      <c r="AW45" s="1781">
        <v>14</v>
      </c>
    </row>
    <row customHeight="1" ht="27.299999999999997">
      <c r="R46" s="1002"/>
      <c r="S46" s="1002"/>
      <c r="T46" s="1002"/>
      <c r="U46" s="2899"/>
      <c r="V46" s="2835"/>
      <c r="W46" s="1657"/>
      <c r="X46" s="2951"/>
      <c r="Y46" s="2944"/>
      <c r="Z46" s="2943" t="s">
        <v>477</v>
      </c>
      <c r="AA46" s="2896" t="s">
        <v>478</v>
      </c>
      <c r="AB46" s="2897"/>
      <c r="AC46" s="2943" t="s">
        <v>464</v>
      </c>
      <c r="AD46" s="2947" t="s">
        <v>465</v>
      </c>
      <c r="AE46" s="2948"/>
      <c r="AF46" s="2904"/>
      <c r="AG46" s="2951"/>
      <c r="AH46" s="2944"/>
      <c r="AI46" s="2943" t="s">
        <v>477</v>
      </c>
      <c r="AJ46" s="2896" t="s">
        <v>478</v>
      </c>
      <c r="AK46" s="2897"/>
      <c r="AL46" s="2943" t="s">
        <v>464</v>
      </c>
      <c r="AM46" s="2947" t="s">
        <v>465</v>
      </c>
      <c r="AN46" s="2948"/>
      <c r="AO46" s="2904"/>
      <c r="AP46" s="2907"/>
      <c r="AQ46" s="2753"/>
      <c r="AW46" s="1781">
        <v>26</v>
      </c>
    </row>
    <row customHeight="1" ht="65.25">
      <c r="A47" s="1885"/>
      <c r="B47" s="1885" t="s">
        <v>155</v>
      </c>
      <c r="C47" s="1885" t="s">
        <v>156</v>
      </c>
      <c r="D47" s="1885" t="s">
        <v>157</v>
      </c>
      <c r="E47" s="1936" t="s">
        <v>455</v>
      </c>
      <c r="F47" s="1936" t="s">
        <v>456</v>
      </c>
      <c r="G47" s="1936" t="s">
        <v>457</v>
      </c>
      <c r="H47" s="1936" t="s">
        <v>458</v>
      </c>
      <c r="I47" s="1936" t="s">
        <v>459</v>
      </c>
      <c r="J47" s="1936" t="s">
        <v>460</v>
      </c>
      <c r="K47" s="1936" t="s">
        <v>461</v>
      </c>
      <c r="L47" s="1936" t="s">
        <v>479</v>
      </c>
      <c r="M47" s="1936" t="s">
        <v>436</v>
      </c>
      <c r="R47" s="1002"/>
      <c r="S47" s="1002"/>
      <c r="T47" s="1002"/>
      <c r="U47" s="2899"/>
      <c r="V47" s="2835"/>
      <c r="W47" s="928"/>
      <c r="X47" s="2921"/>
      <c r="Y47" s="2945"/>
      <c r="Z47" s="2945"/>
      <c r="AA47" s="1848" t="s">
        <v>480</v>
      </c>
      <c r="AB47" s="1848" t="s">
        <v>481</v>
      </c>
      <c r="AC47" s="2945"/>
      <c r="AD47" s="2949"/>
      <c r="AE47" s="2950"/>
      <c r="AF47" s="2905"/>
      <c r="AG47" s="2921"/>
      <c r="AH47" s="2945"/>
      <c r="AI47" s="2945"/>
      <c r="AJ47" s="1848" t="s">
        <v>480</v>
      </c>
      <c r="AK47" s="1848" t="s">
        <v>481</v>
      </c>
      <c r="AL47" s="2945"/>
      <c r="AM47" s="2949"/>
      <c r="AN47" s="2950"/>
      <c r="AO47" s="2905"/>
      <c r="AP47" s="2908"/>
      <c r="AQ47" s="2753"/>
      <c r="AW47" s="1781">
        <v>62</v>
      </c>
    </row>
    <row s="35197" customFormat="1" customHeight="1" ht="11.25" hidden="1">
      <c r="A48" s="1885"/>
      <c r="B48" s="1885"/>
      <c r="C48" s="1885"/>
      <c r="D48" s="1885"/>
      <c r="E48" s="1885"/>
      <c r="F48" s="1885"/>
      <c r="G48" s="1885"/>
      <c r="H48" s="1885"/>
      <c r="I48" s="1885"/>
      <c r="J48" s="1885"/>
      <c r="K48" s="1885"/>
      <c r="L48" s="1885"/>
      <c r="M48" s="1936"/>
      <c r="N48" s="1954"/>
      <c r="O48" s="1954"/>
      <c r="P48" s="1954"/>
      <c r="Q48" s="1872"/>
      <c r="R48" s="1873"/>
      <c r="S48" s="1880">
        <v>1</v>
      </c>
      <c r="T48" s="1880"/>
      <c r="U48" s="1903" t="s">
        <v>118</v>
      </c>
      <c r="V48" s="1881" t="s">
        <v>102</v>
      </c>
      <c r="W48" s="1871" t="str">
        <f>OFFSET(W48,0,-1)</f>
        <v>2</v>
      </c>
      <c r="X48" s="1961">
        <f>OFFSET(X48,0,-1)+1</f>
        <v>3</v>
      </c>
      <c r="Y48" s="1967"/>
      <c r="Z48" s="1967"/>
      <c r="AA48" s="1967">
        <f>OFFSET(AA48,0,-1)+1</f>
        <v>1</v>
      </c>
      <c r="AB48" s="1967">
        <f>OFFSET(AB48,0,-1)+1</f>
        <v>2</v>
      </c>
      <c r="AC48" s="1961">
        <f>OFFSET(AC48,0,-1)+1</f>
        <v>3</v>
      </c>
      <c r="AD48" s="2898">
        <f>OFFSET(AD48,0,-1)+1</f>
        <v>4</v>
      </c>
      <c r="AE48" s="2898"/>
      <c r="AF48" s="1961">
        <f>OFFSET(AF48,0,-2)+1</f>
        <v>5</v>
      </c>
      <c r="AG48" s="1961">
        <f>OFFSET(AG48,0,-1)+1</f>
        <v>6</v>
      </c>
      <c r="AH48" s="1961"/>
      <c r="AI48" s="1961"/>
      <c r="AJ48" s="1961">
        <f>OFFSET(AJ48,0,-1)+1</f>
        <v>1</v>
      </c>
      <c r="AK48" s="1961">
        <f>OFFSET(AK48,0,-1)+1</f>
        <v>2</v>
      </c>
      <c r="AL48" s="1961">
        <f>OFFSET(AL48,0,-1)+1</f>
        <v>3</v>
      </c>
      <c r="AM48" s="2898">
        <f>OFFSET(AM48,0,-1)+1</f>
        <v>4</v>
      </c>
      <c r="AN48" s="2898"/>
      <c r="AO48" s="1961">
        <f>OFFSET(AO48,0,-2)+1</f>
        <v>5</v>
      </c>
      <c r="AP48" s="1871">
        <f>OFFSET(AP48,0,-1)</f>
        <v>5</v>
      </c>
      <c r="AQ48" s="1961">
        <f>OFFSET(AQ48,0,-1)+1</f>
        <v>6</v>
      </c>
      <c r="AR48" s="1137"/>
      <c r="AS48" s="1137"/>
      <c r="AT48" s="1137"/>
      <c r="AU48" s="1137"/>
      <c r="AV48" s="1137"/>
      <c r="AW48" s="1122">
        <v>0</v>
      </c>
    </row>
    <row customHeight="1" ht="22.049999999999997">
      <c r="A49" s="1893" t="s">
        <v>194</v>
      </c>
      <c r="B49" s="1893"/>
      <c r="C49" s="1893"/>
      <c r="D49" s="1893"/>
      <c r="E49" s="2915">
        <v>1</v>
      </c>
      <c r="F49" s="1893"/>
      <c r="G49" s="1893"/>
      <c r="H49" s="1893"/>
      <c r="I49" s="1893"/>
      <c r="J49" s="1893"/>
      <c r="K49" s="1893"/>
      <c r="L49" s="1893"/>
      <c r="M49" s="1936"/>
      <c r="N49" s="1314"/>
      <c r="O49" s="1314"/>
      <c r="P49" s="1314"/>
      <c r="Q49" s="987"/>
      <c r="R49" s="986"/>
      <c r="S49" s="986"/>
      <c r="T49" s="981"/>
      <c r="U49" s="1962">
        <f>INDEX(PT_DIFFERENTIATION_NUM_NTAR,MATCH(A49,PT_DIFFERENTIATION_NTAR_ID,0))</f>
        <v>0</v>
      </c>
      <c r="V49" s="924" t="s">
        <v>143</v>
      </c>
      <c r="W49" s="926"/>
      <c r="X49" s="2868"/>
      <c r="Y49" s="2869"/>
      <c r="Z49" s="2869"/>
      <c r="AA49" s="2869"/>
      <c r="AB49" s="2869"/>
      <c r="AC49" s="2869"/>
      <c r="AD49" s="2869"/>
      <c r="AE49" s="2869"/>
      <c r="AF49" s="2870"/>
      <c r="AG49" s="2868" t="str">
        <f>INDEX(PT_DIFFERENTIATION_NTAR,MATCH(A49,PT_DIFFERENTIATION_NTAR_ID,0))</f>
        <v/>
      </c>
      <c r="AH49" s="2869"/>
      <c r="AI49" s="2869"/>
      <c r="AJ49" s="2869"/>
      <c r="AK49" s="2869"/>
      <c r="AL49" s="2869"/>
      <c r="AM49" s="2869"/>
      <c r="AN49" s="2869"/>
      <c r="AO49" s="2869"/>
      <c r="AP49" s="2870"/>
      <c r="AQ49" s="18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126"/>
      <c r="AT49" s="1126" t="str">
        <f>IF(V49="","",V49)</f>
        <v>Наименование тарифа</v>
      </c>
      <c r="AU49" s="1126"/>
      <c r="AV49" s="1126"/>
      <c r="AW49" s="1781">
        <v>21</v>
      </c>
    </row>
    <row customHeight="1" ht="22.049999999999997">
      <c r="A50" s="1893" t="s">
        <v>194</v>
      </c>
      <c r="B50" s="1893" t="s">
        <v>195</v>
      </c>
      <c r="C50" s="1893"/>
      <c r="D50" s="1893"/>
      <c r="E50" s="2916"/>
      <c r="F50" s="2915">
        <v>1</v>
      </c>
      <c r="G50" s="1893"/>
      <c r="H50" s="1893"/>
      <c r="I50" s="1893"/>
      <c r="J50" s="1893"/>
      <c r="K50" s="1893"/>
      <c r="L50" s="1893"/>
      <c r="M50" s="1936"/>
      <c r="N50" s="1314"/>
      <c r="O50" s="1314"/>
      <c r="P50" s="1314"/>
      <c r="Q50" s="1958"/>
      <c r="R50" s="978"/>
      <c r="S50" s="1135"/>
      <c r="T50" s="979"/>
      <c r="U50" s="1962" t="str">
        <f>INDEX(PT_DIFFERENTIATION_NUM_TER,MATCH(B50,PT_DIFFERENTIATION_TER_ID,0))</f>
        <v>.</v>
      </c>
      <c r="V50" s="934" t="s">
        <v>415</v>
      </c>
      <c r="W50" s="926"/>
      <c r="X50" s="2868"/>
      <c r="Y50" s="2869"/>
      <c r="Z50" s="2869"/>
      <c r="AA50" s="2869"/>
      <c r="AB50" s="2869"/>
      <c r="AC50" s="2869"/>
      <c r="AD50" s="2869"/>
      <c r="AE50" s="2869"/>
      <c r="AF50" s="2870"/>
      <c r="AG50" s="2868" t="str">
        <f>INDEX(PT_DIFFERENTIATION_TER,MATCH(B50,PT_DIFFERENTIATION_TER_ID,0))</f>
        <v/>
      </c>
      <c r="AH50" s="2869"/>
      <c r="AI50" s="2869"/>
      <c r="AJ50" s="2869"/>
      <c r="AK50" s="2869"/>
      <c r="AL50" s="2869"/>
      <c r="AM50" s="2869"/>
      <c r="AN50" s="2869"/>
      <c r="AO50" s="2869"/>
      <c r="AP50" s="2870"/>
      <c r="AQ50" s="1884" t="s">
        <v>416</v>
      </c>
      <c r="AS50" s="1126"/>
      <c r="AT50" s="1126" t="str">
        <f>IF(V50="","",V50)</f>
        <v>Территория действия тарифа</v>
      </c>
      <c r="AU50" s="1126"/>
      <c r="AV50" s="1126"/>
      <c r="AW50" s="1781">
        <v>21</v>
      </c>
    </row>
    <row customHeight="1" ht="24">
      <c r="A51" s="1893" t="s">
        <v>194</v>
      </c>
      <c r="B51" s="1893" t="s">
        <v>195</v>
      </c>
      <c r="C51" s="1893" t="s">
        <v>196</v>
      </c>
      <c r="D51" s="1893"/>
      <c r="E51" s="2916"/>
      <c r="F51" s="2916"/>
      <c r="G51" s="2915">
        <v>1</v>
      </c>
      <c r="H51" s="1893"/>
      <c r="I51" s="1893"/>
      <c r="J51" s="1893"/>
      <c r="K51" s="1893"/>
      <c r="L51" s="1893"/>
      <c r="M51" s="1936"/>
      <c r="N51" s="1314"/>
      <c r="O51" s="1314"/>
      <c r="P51" s="1314"/>
      <c r="Q51" s="980"/>
      <c r="R51" s="978"/>
      <c r="S51" s="1135"/>
      <c r="T51" s="979"/>
      <c r="U51" s="1962" t="str">
        <f>INDEX(PT_DIFFERENTIATION_NUM_CS,MATCH(C51,PT_DIFFERENTIATION_CS_ID,0))</f>
        <v>..</v>
      </c>
      <c r="V51" s="935" t="s">
        <v>417</v>
      </c>
      <c r="W51" s="926"/>
      <c r="X51" s="2868"/>
      <c r="Y51" s="2869"/>
      <c r="Z51" s="2869"/>
      <c r="AA51" s="2869"/>
      <c r="AB51" s="2869"/>
      <c r="AC51" s="2869"/>
      <c r="AD51" s="2869"/>
      <c r="AE51" s="2869"/>
      <c r="AF51" s="2870"/>
      <c r="AG51" s="2868" t="str">
        <f>INDEX(PT_DIFFERENTIATION_CS,MATCH(C51,PT_DIFFERENTIATION_CS_ID,0))</f>
        <v/>
      </c>
      <c r="AH51" s="2869"/>
      <c r="AI51" s="2869"/>
      <c r="AJ51" s="2869"/>
      <c r="AK51" s="2869"/>
      <c r="AL51" s="2869"/>
      <c r="AM51" s="2869"/>
      <c r="AN51" s="2869"/>
      <c r="AO51" s="2869"/>
      <c r="AP51" s="2870"/>
      <c r="AQ51" s="1884" t="s">
        <v>418</v>
      </c>
      <c r="AS51" s="1126"/>
      <c r="AT51" s="1126" t="str">
        <f>IF(V51="","",V51)</f>
        <v>Наименование системы теплоснабжения </v>
      </c>
      <c r="AU51" s="1126"/>
      <c r="AV51" s="1126"/>
      <c r="AW51" s="1781">
        <v>23</v>
      </c>
    </row>
    <row customHeight="1" ht="22.049999999999997">
      <c r="A52" s="1893" t="s">
        <v>194</v>
      </c>
      <c r="B52" s="1893" t="s">
        <v>195</v>
      </c>
      <c r="C52" s="1893" t="s">
        <v>196</v>
      </c>
      <c r="D52" s="1893" t="s">
        <v>197</v>
      </c>
      <c r="E52" s="2916"/>
      <c r="F52" s="2916"/>
      <c r="G52" s="2916"/>
      <c r="H52" s="2936">
        <v>1</v>
      </c>
      <c r="I52" s="1893"/>
      <c r="J52" s="1893"/>
      <c r="K52" s="1893"/>
      <c r="L52" s="1893"/>
      <c r="M52" s="1936"/>
      <c r="N52" s="1314"/>
      <c r="O52" s="1314"/>
      <c r="P52" s="1314"/>
      <c r="Q52" s="980"/>
      <c r="R52" s="978"/>
      <c r="S52" s="1135"/>
      <c r="T52" s="979"/>
      <c r="U52" s="1962" t="str">
        <f>INDEX(PT_DIFFERENTIATION_NUM_IST_TE,MATCH(D52,PT_DIFFERENTIATION_IST_TE_ID,0))</f>
        <v>...</v>
      </c>
      <c r="V52" s="936" t="s">
        <v>419</v>
      </c>
      <c r="W52" s="926"/>
      <c r="X52" s="2868"/>
      <c r="Y52" s="2869"/>
      <c r="Z52" s="2869"/>
      <c r="AA52" s="2869"/>
      <c r="AB52" s="2869"/>
      <c r="AC52" s="2869"/>
      <c r="AD52" s="2869"/>
      <c r="AE52" s="2869"/>
      <c r="AF52" s="2870"/>
      <c r="AG52" s="2868" t="str">
        <f>INDEX(PT_DIFFERENTIATION_IST_TE,MATCH(D52,PT_DIFFERENTIATION_IST_TE_ID,0))</f>
        <v/>
      </c>
      <c r="AH52" s="2869"/>
      <c r="AI52" s="2869"/>
      <c r="AJ52" s="2869"/>
      <c r="AK52" s="2869"/>
      <c r="AL52" s="2869"/>
      <c r="AM52" s="2869"/>
      <c r="AN52" s="2869"/>
      <c r="AO52" s="2869"/>
      <c r="AP52" s="2870"/>
      <c r="AQ52" s="1884" t="s">
        <v>420</v>
      </c>
      <c r="AS52" s="1126"/>
      <c r="AT52" s="1126" t="str">
        <f>IF(V52="","",V52)</f>
        <v>Источник тепловой энергии  </v>
      </c>
      <c r="AU52" s="1126"/>
      <c r="AV52" s="1126"/>
      <c r="AW52" s="1781">
        <v>21</v>
      </c>
    </row>
    <row s="34658" customFormat="1" customHeight="1" ht="0">
      <c r="A53" s="2001" t="s">
        <v>194</v>
      </c>
      <c r="B53" s="2001" t="s">
        <v>195</v>
      </c>
      <c r="C53" s="2001" t="s">
        <v>196</v>
      </c>
      <c r="D53" s="2001" t="s">
        <v>197</v>
      </c>
      <c r="E53" s="2916"/>
      <c r="F53" s="2916"/>
      <c r="G53" s="2916"/>
      <c r="H53" s="2937"/>
      <c r="I53" s="2753" t="str">
        <f>U52&amp;".1"</f>
        <v>....1</v>
      </c>
      <c r="J53" s="2001"/>
      <c r="K53" s="2001"/>
      <c r="L53" s="2001"/>
      <c r="M53" s="2007" t="s">
        <v>421</v>
      </c>
      <c r="N53" s="1872"/>
      <c r="O53" s="1872"/>
      <c r="P53" s="1872"/>
      <c r="Q53" s="2883">
        <v>1</v>
      </c>
      <c r="R53" s="1957"/>
      <c r="S53" s="1957"/>
      <c r="T53" s="982"/>
      <c r="U53" s="1668"/>
      <c r="V53" s="2009"/>
      <c r="W53" s="2010"/>
      <c r="X53" s="2922"/>
      <c r="Y53" s="2923"/>
      <c r="Z53" s="2923"/>
      <c r="AA53" s="2923"/>
      <c r="AB53" s="2923"/>
      <c r="AC53" s="2923"/>
      <c r="AD53" s="2923"/>
      <c r="AE53" s="2923"/>
      <c r="AF53" s="2924"/>
      <c r="AG53" s="2922"/>
      <c r="AH53" s="2923"/>
      <c r="AI53" s="2923"/>
      <c r="AJ53" s="2923"/>
      <c r="AK53" s="2923"/>
      <c r="AL53" s="2923"/>
      <c r="AM53" s="2923"/>
      <c r="AN53" s="2923"/>
      <c r="AO53" s="2923"/>
      <c r="AP53" s="2924"/>
      <c r="AQ53" s="2011"/>
      <c r="AS53" s="1126"/>
      <c r="AT53" s="1126" t="str">
        <f>IF(V53="","",V53)</f>
        <v/>
      </c>
      <c r="AU53" s="1126"/>
      <c r="AV53" s="1126"/>
      <c r="AW53" s="1137">
        <v>0</v>
      </c>
    </row>
    <row customHeight="1" ht="22.049999999999997">
      <c r="A54" s="1893" t="s">
        <v>194</v>
      </c>
      <c r="B54" s="1893" t="s">
        <v>195</v>
      </c>
      <c r="C54" s="1893" t="s">
        <v>196</v>
      </c>
      <c r="D54" s="1893" t="s">
        <v>197</v>
      </c>
      <c r="E54" s="2916"/>
      <c r="F54" s="2916"/>
      <c r="G54" s="2916"/>
      <c r="H54" s="2937"/>
      <c r="I54" s="2727"/>
      <c r="J54" s="2753" t="str">
        <f>I53&amp;".1"</f>
        <v>....1.1</v>
      </c>
      <c r="K54" s="1893"/>
      <c r="L54" s="1893"/>
      <c r="M54" s="1936" t="s">
        <v>424</v>
      </c>
      <c r="Q54" s="2883"/>
      <c r="R54" s="2883">
        <v>1</v>
      </c>
      <c r="S54" s="1144"/>
      <c r="T54" s="983"/>
      <c r="U54" s="1962" t="str">
        <f>$J54</f>
        <v>....1.1</v>
      </c>
      <c r="V54" s="912" t="s">
        <v>425</v>
      </c>
      <c r="W54" s="926"/>
      <c r="X54" s="2871"/>
      <c r="Y54" s="2872"/>
      <c r="Z54" s="2872"/>
      <c r="AA54" s="2872"/>
      <c r="AB54" s="2872"/>
      <c r="AC54" s="2861"/>
      <c r="AD54" s="2861"/>
      <c r="AE54" s="2861"/>
      <c r="AF54" s="2934"/>
      <c r="AG54" s="2871"/>
      <c r="AH54" s="2872"/>
      <c r="AI54" s="2872"/>
      <c r="AJ54" s="2872"/>
      <c r="AK54" s="2872"/>
      <c r="AL54" s="2872"/>
      <c r="AM54" s="2872"/>
      <c r="AN54" s="2872"/>
      <c r="AO54" s="2872"/>
      <c r="AP54" s="2873"/>
      <c r="AQ54" s="1884" t="s">
        <v>426</v>
      </c>
      <c r="AS54" s="1126"/>
      <c r="AT54" s="1126" t="str">
        <f>IF(V54="","",V54)</f>
        <v>Группа потребителей</v>
      </c>
      <c r="AU54" s="1126"/>
      <c r="AV54" s="1126"/>
      <c r="AW54" s="1781">
        <v>21</v>
      </c>
    </row>
    <row customHeight="1" ht="22.049999999999997">
      <c r="A55" s="1893" t="s">
        <v>194</v>
      </c>
      <c r="B55" s="1893" t="s">
        <v>195</v>
      </c>
      <c r="C55" s="1893" t="s">
        <v>196</v>
      </c>
      <c r="D55" s="1893" t="s">
        <v>197</v>
      </c>
      <c r="E55" s="2916"/>
      <c r="F55" s="2916"/>
      <c r="G55" s="2916"/>
      <c r="H55" s="2937"/>
      <c r="I55" s="2727"/>
      <c r="J55" s="2727"/>
      <c r="K55" s="2753" t="str">
        <f>J54&amp;".1"</f>
        <v>....1.1.1</v>
      </c>
      <c r="L55" s="765"/>
      <c r="M55" s="1936" t="s">
        <v>427</v>
      </c>
      <c r="Q55" s="2883"/>
      <c r="R55" s="2883"/>
      <c r="S55" s="1144">
        <v>1</v>
      </c>
      <c r="T55" s="983"/>
      <c r="U55" s="1962" t="str">
        <f>$K55</f>
        <v>....1.1.1</v>
      </c>
      <c r="V55" s="1973"/>
      <c r="W55" s="926"/>
      <c r="X55" s="1377"/>
      <c r="Y55" s="1377"/>
      <c r="Z55" s="1377"/>
      <c r="AA55" s="1377"/>
      <c r="AB55" s="2031"/>
      <c r="AC55" s="2891"/>
      <c r="AD55" s="2733" t="s">
        <v>66</v>
      </c>
      <c r="AE55" s="2891"/>
      <c r="AF55" s="2733" t="s">
        <v>66</v>
      </c>
      <c r="AG55" s="2033"/>
      <c r="AH55" s="1377"/>
      <c r="AI55" s="1377"/>
      <c r="AJ55" s="1377"/>
      <c r="AK55" s="1883"/>
      <c r="AL55" s="2891"/>
      <c r="AM55" s="2733" t="s">
        <v>66</v>
      </c>
      <c r="AN55" s="2891"/>
      <c r="AO55" s="2733" t="s">
        <v>66</v>
      </c>
      <c r="AP55" s="1974"/>
      <c r="AQ55" s="1933" t="s">
        <v>470</v>
      </c>
      <c r="AR55" s="1137">
        <f>STRCHECKDATE(X57:AP57)</f>
      </c>
      <c r="AS55" s="1126"/>
      <c r="AT55" s="1126" t="str">
        <f>IF(V55="","",V55)</f>
        <v/>
      </c>
      <c r="AU55" s="1126"/>
      <c r="AV55" s="1126"/>
      <c r="AW55" s="1781">
        <v>21</v>
      </c>
    </row>
    <row customHeight="1" ht="11.549999999999999">
      <c r="A56" s="1893" t="s">
        <v>194</v>
      </c>
      <c r="B56" s="1893" t="s">
        <v>195</v>
      </c>
      <c r="C56" s="1893" t="s">
        <v>196</v>
      </c>
      <c r="D56" s="1893" t="s">
        <v>197</v>
      </c>
      <c r="E56" s="2916"/>
      <c r="F56" s="2916"/>
      <c r="G56" s="2916"/>
      <c r="H56" s="2937"/>
      <c r="I56" s="2727"/>
      <c r="J56" s="2727"/>
      <c r="K56" s="2727"/>
      <c r="L56" s="2753" t="str">
        <f>K55&amp;".1"</f>
        <v>....1.1.1.1</v>
      </c>
      <c r="M56" s="1936"/>
      <c r="Q56" s="2883"/>
      <c r="R56" s="2883"/>
      <c r="S56" s="1144">
        <v>1</v>
      </c>
      <c r="T56" s="983"/>
      <c r="U56" s="1962" t="str">
        <f>$L56</f>
        <v>....1.1.1.1</v>
      </c>
      <c r="V56" s="2017"/>
      <c r="W56" s="926"/>
      <c r="X56" s="951"/>
      <c r="Y56" s="1377"/>
      <c r="Z56" s="1377"/>
      <c r="AA56" s="1377"/>
      <c r="AB56" s="2031"/>
      <c r="AC56" s="2935"/>
      <c r="AD56" s="2733"/>
      <c r="AE56" s="2935"/>
      <c r="AF56" s="2733"/>
      <c r="AG56" s="2033"/>
      <c r="AH56" s="1377"/>
      <c r="AI56" s="1377"/>
      <c r="AJ56" s="1377"/>
      <c r="AK56" s="1883"/>
      <c r="AL56" s="2935"/>
      <c r="AM56" s="2733"/>
      <c r="AN56" s="2935"/>
      <c r="AO56" s="2733"/>
      <c r="AP56" s="1974"/>
      <c r="AQ56" s="2879" t="s">
        <v>471</v>
      </c>
      <c r="AR56" s="1137">
        <f>STRCHECKDATE(X58:AP58)</f>
      </c>
      <c r="AS56" s="1126"/>
      <c r="AT56" s="1126" t="str">
        <f>IF(V56="","",V56)</f>
        <v/>
      </c>
      <c r="AU56" s="1126"/>
      <c r="AV56" s="1126"/>
      <c r="AW56" s="1781">
        <v>11</v>
      </c>
    </row>
    <row customHeight="1" ht="0">
      <c r="A57" s="1893" t="s">
        <v>194</v>
      </c>
      <c r="B57" s="1893" t="s">
        <v>195</v>
      </c>
      <c r="C57" s="1893" t="s">
        <v>196</v>
      </c>
      <c r="D57" s="1893" t="s">
        <v>197</v>
      </c>
      <c r="E57" s="2916"/>
      <c r="F57" s="2916"/>
      <c r="G57" s="2916"/>
      <c r="H57" s="2937"/>
      <c r="I57" s="2727"/>
      <c r="J57" s="2727"/>
      <c r="K57" s="2727"/>
      <c r="L57" s="2753"/>
      <c r="M57" s="1936"/>
      <c r="Q57" s="2883"/>
      <c r="R57" s="2883"/>
      <c r="S57" s="1144"/>
      <c r="T57" s="983"/>
      <c r="U57" s="1968"/>
      <c r="V57" s="926"/>
      <c r="W57" s="926"/>
      <c r="X57" s="951"/>
      <c r="Y57" s="951"/>
      <c r="Z57" s="951"/>
      <c r="AA57" s="951"/>
      <c r="AB57" s="2032" t="str">
        <f>AC55&amp;"-"&amp;AE55</f>
        <v>-</v>
      </c>
      <c r="AC57" s="2935"/>
      <c r="AD57" s="2733"/>
      <c r="AE57" s="2935"/>
      <c r="AF57" s="2733"/>
      <c r="AG57" s="2008"/>
      <c r="AH57" s="951"/>
      <c r="AI57" s="951"/>
      <c r="AJ57" s="951"/>
      <c r="AK57" s="954" t="str">
        <f>AL55&amp;"-"&amp;AN55</f>
        <v>-</v>
      </c>
      <c r="AL57" s="2935"/>
      <c r="AM57" s="2733"/>
      <c r="AN57" s="2935"/>
      <c r="AO57" s="2733"/>
      <c r="AP57" s="1975"/>
      <c r="AQ57" s="2880"/>
      <c r="AS57" s="1126"/>
      <c r="AT57" s="1126" t="str">
        <f>IF(V57="","",V57)</f>
        <v/>
      </c>
      <c r="AU57" s="1126"/>
      <c r="AV57" s="1126"/>
      <c r="AW57" s="1781">
        <v>0</v>
      </c>
    </row>
    <row customHeight="1" ht="11.549999999999999">
      <c r="A58" s="1893" t="s">
        <v>194</v>
      </c>
      <c r="B58" s="1893" t="s">
        <v>195</v>
      </c>
      <c r="C58" s="1893" t="s">
        <v>196</v>
      </c>
      <c r="D58" s="1893" t="s">
        <v>197</v>
      </c>
      <c r="E58" s="2916"/>
      <c r="F58" s="2916"/>
      <c r="G58" s="2916"/>
      <c r="H58" s="2937"/>
      <c r="I58" s="2727"/>
      <c r="J58" s="2727"/>
      <c r="K58" s="2753"/>
      <c r="L58" s="1893"/>
      <c r="M58" s="1936"/>
      <c r="Q58" s="2883"/>
      <c r="R58" s="2883"/>
      <c r="S58" s="1957"/>
      <c r="T58" s="982"/>
      <c r="U58" s="1904"/>
      <c r="V58" s="914" t="s">
        <v>472</v>
      </c>
      <c r="W58" s="993"/>
      <c r="X58" s="993"/>
      <c r="Y58" s="993"/>
      <c r="Z58" s="993"/>
      <c r="AA58" s="993"/>
      <c r="AB58" s="993"/>
      <c r="AC58" s="2935"/>
      <c r="AD58" s="2733"/>
      <c r="AE58" s="2935"/>
      <c r="AF58" s="2733"/>
      <c r="AG58" s="993"/>
      <c r="AH58" s="993"/>
      <c r="AI58" s="993"/>
      <c r="AJ58" s="993"/>
      <c r="AK58" s="993"/>
      <c r="AL58" s="2935"/>
      <c r="AM58" s="2733"/>
      <c r="AN58" s="2935"/>
      <c r="AO58" s="2733"/>
      <c r="AP58" s="950"/>
      <c r="AQ58" s="2880"/>
      <c r="AS58" s="1126"/>
      <c r="AT58" s="1126" t="str">
        <f>IF(V58="","",V58)</f>
        <v>Добавить наименование поставщика</v>
      </c>
      <c r="AU58" s="1126"/>
      <c r="AV58" s="1126"/>
      <c r="AW58" s="1781">
        <v>11</v>
      </c>
    </row>
    <row customHeight="1" ht="11.549999999999999">
      <c r="A59" s="1893" t="s">
        <v>194</v>
      </c>
      <c r="B59" s="1893" t="s">
        <v>195</v>
      </c>
      <c r="C59" s="1893" t="s">
        <v>196</v>
      </c>
      <c r="D59" s="1893" t="s">
        <v>197</v>
      </c>
      <c r="E59" s="2916"/>
      <c r="F59" s="2916"/>
      <c r="G59" s="2916"/>
      <c r="H59" s="2937"/>
      <c r="I59" s="2727"/>
      <c r="J59" s="2753"/>
      <c r="K59" s="1893"/>
      <c r="L59" s="1893"/>
      <c r="M59" s="1936"/>
      <c r="Q59" s="2883"/>
      <c r="R59" s="2883"/>
      <c r="S59" s="1957"/>
      <c r="T59" s="982"/>
      <c r="U59" s="1904"/>
      <c r="V59" s="913" t="s">
        <v>429</v>
      </c>
      <c r="W59" s="993"/>
      <c r="X59" s="993"/>
      <c r="Y59" s="993"/>
      <c r="Z59" s="993"/>
      <c r="AA59" s="993"/>
      <c r="AB59" s="993"/>
      <c r="AC59" s="2034"/>
      <c r="AD59" s="2034"/>
      <c r="AE59" s="2034"/>
      <c r="AF59" s="2034"/>
      <c r="AG59" s="993"/>
      <c r="AH59" s="993"/>
      <c r="AI59" s="993"/>
      <c r="AJ59" s="993"/>
      <c r="AK59" s="993"/>
      <c r="AL59" s="993"/>
      <c r="AM59" s="993"/>
      <c r="AN59" s="993"/>
      <c r="AO59" s="993"/>
      <c r="AP59" s="950"/>
      <c r="AQ59" s="2881"/>
      <c r="AS59" s="1126"/>
      <c r="AT59" s="1126" t="str">
        <f>IF(V59="","",V59)</f>
        <v>Добавить вид теплоносителя (параметры теплоносителя)</v>
      </c>
      <c r="AU59" s="1126"/>
      <c r="AV59" s="1126"/>
      <c r="AW59" s="1781">
        <v>11</v>
      </c>
    </row>
    <row customHeight="1" ht="11.549999999999999">
      <c r="A60" s="1893" t="s">
        <v>194</v>
      </c>
      <c r="B60" s="1893" t="s">
        <v>195</v>
      </c>
      <c r="C60" s="1893" t="s">
        <v>196</v>
      </c>
      <c r="D60" s="1893" t="s">
        <v>197</v>
      </c>
      <c r="E60" s="2916"/>
      <c r="F60" s="2916"/>
      <c r="G60" s="2916"/>
      <c r="H60" s="2937"/>
      <c r="I60" s="2753"/>
      <c r="J60" s="1893"/>
      <c r="K60" s="1893"/>
      <c r="L60" s="1893"/>
      <c r="M60" s="1936"/>
      <c r="Q60" s="2883"/>
      <c r="R60" s="1957"/>
      <c r="S60" s="1957"/>
      <c r="T60" s="982"/>
      <c r="U60" s="1904"/>
      <c r="V60" s="991" t="s">
        <v>430</v>
      </c>
      <c r="W60" s="993"/>
      <c r="X60" s="993"/>
      <c r="Y60" s="993"/>
      <c r="Z60" s="993"/>
      <c r="AA60" s="993"/>
      <c r="AB60" s="993"/>
      <c r="AC60" s="993"/>
      <c r="AD60" s="993"/>
      <c r="AE60" s="993"/>
      <c r="AF60" s="992"/>
      <c r="AG60" s="993"/>
      <c r="AH60" s="993"/>
      <c r="AI60" s="993"/>
      <c r="AJ60" s="993"/>
      <c r="AK60" s="993"/>
      <c r="AL60" s="993"/>
      <c r="AM60" s="993"/>
      <c r="AN60" s="993"/>
      <c r="AO60" s="992"/>
      <c r="AP60" s="993"/>
      <c r="AQ60" s="929"/>
      <c r="AS60" s="1126"/>
      <c r="AT60" s="1126" t="str">
        <f>IF(V60="","",V60)</f>
        <v>Добавить группу потребителей</v>
      </c>
      <c r="AU60" s="1126"/>
      <c r="AV60" s="1126"/>
      <c r="AW60" s="1781">
        <v>11</v>
      </c>
    </row>
    <row customHeight="1" ht="0">
      <c r="A61" s="1893" t="s">
        <v>194</v>
      </c>
      <c r="B61" s="1893" t="s">
        <v>195</v>
      </c>
      <c r="C61" s="1893" t="s">
        <v>196</v>
      </c>
      <c r="D61" s="1893" t="s">
        <v>197</v>
      </c>
      <c r="E61" s="2916"/>
      <c r="F61" s="2916"/>
      <c r="G61" s="2916"/>
      <c r="H61" s="2936"/>
      <c r="I61" s="1893"/>
      <c r="J61" s="1893"/>
      <c r="K61" s="1893"/>
      <c r="L61" s="1893"/>
      <c r="M61" s="1936"/>
      <c r="N61" s="1314"/>
      <c r="O61" s="1314"/>
      <c r="P61" s="1135"/>
      <c r="Q61" s="986"/>
      <c r="R61" s="1001"/>
      <c r="S61" s="981"/>
      <c r="T61" s="986"/>
      <c r="U61" s="2012"/>
      <c r="V61" s="2013"/>
      <c r="W61" s="2014"/>
      <c r="X61" s="2014"/>
      <c r="Y61" s="2014"/>
      <c r="Z61" s="2014"/>
      <c r="AA61" s="2014"/>
      <c r="AB61" s="2014"/>
      <c r="AC61" s="2014"/>
      <c r="AD61" s="2014"/>
      <c r="AE61" s="2014"/>
      <c r="AF61" s="2014"/>
      <c r="AG61" s="2014"/>
      <c r="AH61" s="2014"/>
      <c r="AI61" s="2014"/>
      <c r="AJ61" s="2014"/>
      <c r="AK61" s="2014"/>
      <c r="AL61" s="2014"/>
      <c r="AM61" s="2014"/>
      <c r="AN61" s="2014"/>
      <c r="AO61" s="2014"/>
      <c r="AP61" s="2014"/>
      <c r="AQ61" s="2015"/>
      <c r="AS61" s="1126"/>
      <c r="AT61" s="1126" t="str">
        <f>IF(V61="","",V61)</f>
        <v/>
      </c>
      <c r="AU61" s="1126"/>
      <c r="AV61" s="1126"/>
      <c r="AW61" s="1781">
        <v>0</v>
      </c>
    </row>
    <row s="34658" customFormat="1" customHeight="1" ht="0">
      <c r="A62" s="2001" t="s">
        <v>194</v>
      </c>
      <c r="B62" s="2001" t="s">
        <v>195</v>
      </c>
      <c r="C62" s="2001" t="s">
        <v>196</v>
      </c>
      <c r="D62" s="2000"/>
      <c r="E62" s="2916"/>
      <c r="F62" s="2916"/>
      <c r="G62" s="2915"/>
      <c r="H62" s="2000"/>
      <c r="I62" s="2000"/>
      <c r="J62" s="2000"/>
      <c r="K62" s="2000"/>
      <c r="L62" s="2000"/>
      <c r="M62" s="2003"/>
      <c r="N62" s="2004"/>
      <c r="O62" s="2004"/>
      <c r="P62" s="977"/>
      <c r="Q62" s="1942"/>
      <c r="R62" s="1943"/>
      <c r="S62" s="1942"/>
      <c r="T62" s="1942"/>
      <c r="U62" s="1948"/>
      <c r="V62" s="1951" t="s">
        <v>432</v>
      </c>
      <c r="W62" s="1950"/>
      <c r="X62" s="1950"/>
      <c r="Y62" s="1950"/>
      <c r="Z62" s="1950"/>
      <c r="AA62" s="1950"/>
      <c r="AB62" s="1950"/>
      <c r="AC62" s="1950"/>
      <c r="AD62" s="1950"/>
      <c r="AE62" s="1950"/>
      <c r="AF62" s="1950"/>
      <c r="AG62" s="1950"/>
      <c r="AH62" s="1950"/>
      <c r="AI62" s="1950"/>
      <c r="AJ62" s="1950"/>
      <c r="AK62" s="1950"/>
      <c r="AL62" s="1950"/>
      <c r="AM62" s="1950"/>
      <c r="AN62" s="1950"/>
      <c r="AO62" s="1950"/>
      <c r="AP62" s="1950"/>
      <c r="AQ62" s="1950"/>
      <c r="AS62" s="1415"/>
      <c r="AT62" s="1415" t="str">
        <f>IF(V62="","",V62)</f>
        <v>Добавить источник для дифференциации</v>
      </c>
      <c r="AU62" s="1415"/>
      <c r="AV62" s="1415"/>
      <c r="AW62" s="1144">
        <v>0</v>
      </c>
    </row>
    <row s="34658" customFormat="1" customHeight="1" ht="0">
      <c r="A63" s="2001" t="s">
        <v>194</v>
      </c>
      <c r="B63" s="2001" t="s">
        <v>195</v>
      </c>
      <c r="C63" s="2000"/>
      <c r="D63" s="2000"/>
      <c r="E63" s="2916"/>
      <c r="F63" s="2915"/>
      <c r="G63" s="2000"/>
      <c r="H63" s="2000"/>
      <c r="I63" s="2000"/>
      <c r="J63" s="2000"/>
      <c r="K63" s="2000"/>
      <c r="L63" s="2000"/>
      <c r="M63" s="2003"/>
      <c r="N63" s="2005"/>
      <c r="O63" s="2005"/>
      <c r="P63" s="977"/>
      <c r="Q63" s="1942"/>
      <c r="R63" s="1943"/>
      <c r="S63" s="1942"/>
      <c r="T63" s="1942"/>
      <c r="U63" s="1948"/>
      <c r="V63" s="1951" t="s">
        <v>433</v>
      </c>
      <c r="W63" s="1950"/>
      <c r="X63" s="1950"/>
      <c r="Y63" s="1950"/>
      <c r="Z63" s="1950"/>
      <c r="AA63" s="1950"/>
      <c r="AB63" s="1950"/>
      <c r="AC63" s="1950"/>
      <c r="AD63" s="1950"/>
      <c r="AE63" s="1950"/>
      <c r="AF63" s="1950"/>
      <c r="AG63" s="1950"/>
      <c r="AH63" s="1950"/>
      <c r="AI63" s="1950"/>
      <c r="AJ63" s="1950"/>
      <c r="AK63" s="1950"/>
      <c r="AL63" s="1950"/>
      <c r="AM63" s="1950"/>
      <c r="AN63" s="1950"/>
      <c r="AO63" s="1950"/>
      <c r="AP63" s="1950"/>
      <c r="AQ63" s="1950"/>
      <c r="AS63" s="1415"/>
      <c r="AT63" s="1415" t="str">
        <f>IF(V63="","",V63)</f>
        <v>Добавить централизованную систему для дифференциации</v>
      </c>
      <c r="AU63" s="1415"/>
      <c r="AV63" s="1415"/>
      <c r="AW63" s="1144">
        <v>0</v>
      </c>
    </row>
    <row s="34658" customFormat="1" customHeight="1" ht="0">
      <c r="A64" s="2001" t="s">
        <v>194</v>
      </c>
      <c r="B64" s="2001"/>
      <c r="C64" s="2001"/>
      <c r="D64" s="2001"/>
      <c r="E64" s="2915"/>
      <c r="F64" s="2001"/>
      <c r="G64" s="2001"/>
      <c r="H64" s="2001"/>
      <c r="I64" s="2001"/>
      <c r="J64" s="2001"/>
      <c r="K64" s="2001"/>
      <c r="L64" s="2001"/>
      <c r="M64" s="2007"/>
      <c r="N64" s="2005"/>
      <c r="O64" s="2005"/>
      <c r="P64" s="977"/>
      <c r="Q64" s="1006"/>
      <c r="R64" s="1970"/>
      <c r="S64" s="1006"/>
      <c r="T64" s="1006"/>
      <c r="U64" s="1948"/>
      <c r="V64" s="1951" t="s">
        <v>434</v>
      </c>
      <c r="W64" s="1950"/>
      <c r="X64" s="1950"/>
      <c r="Y64" s="1950"/>
      <c r="Z64" s="1950"/>
      <c r="AA64" s="1950"/>
      <c r="AB64" s="1950"/>
      <c r="AC64" s="1950"/>
      <c r="AD64" s="1950"/>
      <c r="AE64" s="1950"/>
      <c r="AF64" s="1950"/>
      <c r="AG64" s="1950"/>
      <c r="AH64" s="1950"/>
      <c r="AI64" s="1950"/>
      <c r="AJ64" s="1950"/>
      <c r="AK64" s="1950"/>
      <c r="AL64" s="1950"/>
      <c r="AM64" s="1950"/>
      <c r="AN64" s="1950"/>
      <c r="AO64" s="1950"/>
      <c r="AP64" s="1950"/>
      <c r="AQ64" s="1950"/>
      <c r="AS64" s="1126"/>
      <c r="AT64" s="1126" t="str">
        <f>IF(V64="","",V64)</f>
        <v>Добавить территорию для дифференциации</v>
      </c>
      <c r="AU64" s="1126"/>
      <c r="AV64" s="1126"/>
      <c r="AW64" s="1137">
        <v>0</v>
      </c>
    </row>
    <row s="34658" customFormat="1" customHeight="1" ht="4.2">
      <c r="A65" s="2000"/>
      <c r="B65" s="2000"/>
      <c r="C65" s="2000"/>
      <c r="D65" s="2000"/>
      <c r="E65" s="2001"/>
      <c r="F65" s="2000"/>
      <c r="G65" s="2000"/>
      <c r="H65" s="2000"/>
      <c r="I65" s="2000"/>
      <c r="J65" s="2000"/>
      <c r="K65" s="2000"/>
      <c r="L65" s="2000"/>
      <c r="M65" s="2003"/>
      <c r="N65" s="2005"/>
      <c r="O65" s="2005"/>
      <c r="P65" s="977"/>
      <c r="Q65" s="1942"/>
      <c r="R65" s="1943"/>
      <c r="S65" s="1942"/>
      <c r="T65" s="1942"/>
      <c r="U65" s="1948"/>
      <c r="V65" s="1951" t="s">
        <v>466</v>
      </c>
      <c r="W65" s="1950"/>
      <c r="X65" s="1950"/>
      <c r="Y65" s="1950"/>
      <c r="Z65" s="1950"/>
      <c r="AA65" s="1950"/>
      <c r="AB65" s="1950"/>
      <c r="AC65" s="1950"/>
      <c r="AD65" s="1950"/>
      <c r="AE65" s="1950"/>
      <c r="AF65" s="1950"/>
      <c r="AG65" s="1950"/>
      <c r="AH65" s="1950"/>
      <c r="AI65" s="1950"/>
      <c r="AJ65" s="1950"/>
      <c r="AK65" s="1950"/>
      <c r="AL65" s="1950"/>
      <c r="AM65" s="1950"/>
      <c r="AN65" s="1950"/>
      <c r="AO65" s="1950"/>
      <c r="AP65" s="1950"/>
      <c r="AQ65" s="1950"/>
      <c r="AS65" s="1415"/>
      <c r="AT65" s="1415" t="str">
        <f>IF(V65="","",V65)</f>
        <v>Добавить наименование тарифа</v>
      </c>
      <c r="AU65" s="1415"/>
      <c r="AV65" s="1415"/>
      <c r="AW65" s="1144">
        <v>4</v>
      </c>
    </row>
    <row customHeight="1" ht="11.549999999999999">
      <c r="N66" s="1781"/>
      <c r="O66" s="1781"/>
      <c r="P66" s="1135"/>
      <c r="Q66" s="1781"/>
      <c r="R66" s="1781"/>
      <c r="S66" s="1781"/>
      <c r="T66" s="1781"/>
      <c r="U66" s="1781"/>
      <c r="AR66" s="1781"/>
      <c r="AS66" s="1781"/>
      <c r="AT66" s="1781"/>
      <c r="AU66" s="1781"/>
      <c r="AV66" s="1781"/>
      <c r="AW66" s="1781">
        <v>11</v>
      </c>
    </row>
    <row customHeight="1" ht="35.699999999999996">
      <c r="P67" s="1135"/>
      <c r="U67" s="1879"/>
      <c r="V67" s="2911"/>
      <c r="W67" s="2911"/>
      <c r="X67" s="2911"/>
      <c r="Y67" s="2911"/>
      <c r="Z67" s="2911"/>
      <c r="AA67" s="2911"/>
      <c r="AB67" s="2911"/>
      <c r="AC67" s="2911"/>
      <c r="AD67" s="2911"/>
      <c r="AE67" s="2911"/>
      <c r="AF67" s="2911"/>
      <c r="AG67" s="2911"/>
      <c r="AH67" s="2911"/>
      <c r="AI67" s="2911"/>
      <c r="AJ67" s="2911"/>
      <c r="AK67" s="2911"/>
      <c r="AL67" s="2911"/>
      <c r="AM67" s="2911"/>
      <c r="AN67" s="2911"/>
      <c r="AO67" s="2911"/>
      <c r="AP67" s="2911"/>
      <c r="AQ67" s="2911"/>
      <c r="AW67" s="1781">
        <v>34</v>
      </c>
    </row>
    <row customHeight="1" ht="21">
      <c r="P68" s="1135"/>
      <c r="V68" s="2911"/>
      <c r="W68" s="2911"/>
      <c r="X68" s="2911"/>
      <c r="Y68" s="2911"/>
      <c r="Z68" s="2911"/>
      <c r="AA68" s="2911"/>
      <c r="AB68" s="2911"/>
      <c r="AC68" s="2911"/>
      <c r="AD68" s="2911"/>
      <c r="AE68" s="2911"/>
      <c r="AF68" s="2911"/>
      <c r="AG68" s="2911"/>
      <c r="AH68" s="2911"/>
      <c r="AI68" s="2911"/>
      <c r="AJ68" s="2911"/>
      <c r="AK68" s="2911"/>
      <c r="AL68" s="2911"/>
      <c r="AM68" s="2911"/>
      <c r="AN68" s="2911"/>
      <c r="AO68" s="2911"/>
      <c r="AP68" s="2911"/>
      <c r="AQ68" s="2911"/>
      <c r="AW68" s="1781">
        <v>20</v>
      </c>
    </row>
    <row customHeight="1" ht="14.699999999999998">
      <c r="P69" s="1135"/>
      <c r="AW69" s="1781">
        <v>14</v>
      </c>
    </row>
    <row customHeight="1" ht="28.5">
      <c r="P70" s="1135"/>
      <c r="V70" s="2911"/>
      <c r="W70" s="2911"/>
      <c r="X70" s="2911"/>
      <c r="Y70" s="2911"/>
      <c r="Z70" s="2911"/>
      <c r="AA70" s="2911"/>
      <c r="AB70" s="2911"/>
      <c r="AC70" s="2911"/>
      <c r="AD70" s="2911"/>
      <c r="AE70" s="2911"/>
      <c r="AF70" s="2911"/>
      <c r="AG70" s="2911"/>
      <c r="AH70" s="2911"/>
      <c r="AI70" s="2911"/>
      <c r="AJ70" s="2911"/>
      <c r="AK70" s="2911"/>
      <c r="AL70" s="2911"/>
      <c r="AM70" s="2911"/>
      <c r="AN70" s="2911"/>
      <c r="AO70" s="2911"/>
      <c r="AP70" s="2911"/>
      <c r="AQ70" s="2911"/>
      <c r="AW70" s="1781">
        <v>27</v>
      </c>
    </row>
    <row customHeight="1" ht="18.75">
      <c r="P71" s="1135"/>
      <c r="V71" s="2911"/>
      <c r="W71" s="2911"/>
      <c r="X71" s="2911"/>
      <c r="Y71" s="2911"/>
      <c r="Z71" s="2911"/>
      <c r="AA71" s="2911"/>
      <c r="AB71" s="2911"/>
      <c r="AC71" s="2911"/>
      <c r="AD71" s="2911"/>
      <c r="AE71" s="2911"/>
      <c r="AF71" s="2911"/>
      <c r="AG71" s="2911"/>
      <c r="AH71" s="2911"/>
      <c r="AI71" s="2911"/>
      <c r="AJ71" s="2911"/>
      <c r="AK71" s="2911"/>
      <c r="AL71" s="2911"/>
      <c r="AM71" s="2911"/>
      <c r="AN71" s="2911"/>
      <c r="AO71" s="2911"/>
      <c r="AP71" s="2911"/>
      <c r="AQ71" s="2911"/>
      <c r="AW71" s="1781">
        <v>18</v>
      </c>
    </row>
    <row customHeight="1" ht="22.5" hidden="1">
      <c r="A72" s="1781" t="s">
        <v>82</v>
      </c>
      <c r="B72" s="1781">
        <v>0</v>
      </c>
      <c r="C72" s="1781">
        <v>0</v>
      </c>
      <c r="D72" s="1781">
        <v>0</v>
      </c>
      <c r="E72" s="1781">
        <v>0</v>
      </c>
      <c r="F72" s="1781">
        <v>0</v>
      </c>
      <c r="G72" s="1781">
        <v>0</v>
      </c>
      <c r="H72" s="1781">
        <v>0</v>
      </c>
      <c r="I72" s="1781">
        <v>0</v>
      </c>
      <c r="J72" s="1781">
        <v>0</v>
      </c>
      <c r="K72" s="1781">
        <v>0</v>
      </c>
      <c r="L72" s="1781">
        <v>0</v>
      </c>
      <c r="M72" s="1953">
        <v>0</v>
      </c>
      <c r="N72" s="1954">
        <v>0</v>
      </c>
      <c r="O72" s="1954">
        <v>0</v>
      </c>
      <c r="P72" s="1954">
        <v>0</v>
      </c>
      <c r="Q72" s="1954">
        <v>0</v>
      </c>
      <c r="R72" s="970">
        <v>3</v>
      </c>
      <c r="S72" s="970">
        <v>3</v>
      </c>
      <c r="T72" s="970">
        <v>3</v>
      </c>
      <c r="U72" s="1207">
        <v>12</v>
      </c>
      <c r="V72" s="1781">
        <v>31</v>
      </c>
      <c r="W72" s="1781">
        <v>0</v>
      </c>
      <c r="X72" s="1781">
        <v>0</v>
      </c>
      <c r="Y72" s="1781">
        <v>0</v>
      </c>
      <c r="Z72" s="1781">
        <v>0</v>
      </c>
      <c r="AA72" s="1781">
        <v>0</v>
      </c>
      <c r="AB72" s="1781">
        <v>0</v>
      </c>
      <c r="AC72" s="1781">
        <v>0</v>
      </c>
      <c r="AD72" s="1781">
        <v>0</v>
      </c>
      <c r="AE72" s="1781">
        <v>0</v>
      </c>
      <c r="AF72" s="1781">
        <v>0</v>
      </c>
      <c r="AG72" s="1781">
        <v>21</v>
      </c>
      <c r="AH72" s="1781">
        <v>21</v>
      </c>
      <c r="AI72" s="1781">
        <v>21</v>
      </c>
      <c r="AJ72" s="1781">
        <v>21</v>
      </c>
      <c r="AK72" s="1781">
        <v>21</v>
      </c>
      <c r="AL72" s="1781">
        <v>11</v>
      </c>
      <c r="AM72" s="1781">
        <v>3</v>
      </c>
      <c r="AN72" s="1781">
        <v>11</v>
      </c>
      <c r="AO72" s="1781">
        <v>8</v>
      </c>
      <c r="AP72" s="1781">
        <v>4</v>
      </c>
      <c r="AQ72" s="1781">
        <v>115</v>
      </c>
      <c r="AR72" s="1137">
        <v>10</v>
      </c>
      <c r="AS72" s="1137">
        <v>10</v>
      </c>
      <c r="AT72" s="1137">
        <v>10</v>
      </c>
      <c r="AU72" s="1137">
        <v>10</v>
      </c>
      <c r="AV72" s="1137">
        <v>10</v>
      </c>
      <c r="AW72" s="1781">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6A5F1D8-6CF4-5991-BB75-DB56BD1B1251}" mc:Ignorable="x14ac xr xr2 xr3">
  <sheetPr>
    <tabColor rgb="FFCCCCFF"/>
  </sheetPr>
  <dimension ref="A1:Q79"/>
  <sheetViews>
    <sheetView topLeftCell="C1" showGridLines="0" zoomScale="90" workbookViewId="0" tabSelected="1">
      <selection activeCell="E74" sqref="E74"/>
    </sheetView>
  </sheetViews>
  <sheetFormatPr defaultColWidth="9.140625" customHeight="1" defaultRowHeight="11.25"/>
  <cols>
    <col min="1" max="1" style="34652" width="10.7109375" hidden="1" customWidth="1"/>
    <col min="2" max="2" style="34653" width="10.7109375" hidden="1" customWidth="1"/>
    <col min="3" max="3" style="34654" width="3.00390625" customWidth="1"/>
    <col min="4" max="4" style="34580" width="1.00390625" customWidth="1"/>
    <col min="5" max="6" style="34580" width="55.00390625" customWidth="1"/>
    <col min="7" max="7" style="34655" width="1.00390625" customWidth="1"/>
    <col min="8" max="8" style="34580" width="18.00390625" hidden="1" customWidth="1"/>
    <col min="9" max="9" style="34656" width="59.00390625" customWidth="1"/>
    <col min="10" max="10" style="34657" width="52.140625" hidden="1" customWidth="1"/>
    <col min="11" max="11" style="34580" width="8.00390625" customWidth="1"/>
    <col min="12" max="12" style="34580" width="77.00390625" customWidth="1"/>
    <col min="13" max="16" style="34580" width="8.00390625" customWidth="1"/>
    <col min="17" max="17" style="34580" width="12.00390625" hidden="1" customWidth="1"/>
  </cols>
  <sheetData>
    <row s="34537" customFormat="1" customHeight="1" ht="3">
      <c r="A1" s="1409"/>
      <c r="B1" s="867"/>
      <c r="F1" s="868" t="s">
        <v>13</v>
      </c>
      <c r="G1" s="1037"/>
      <c r="H1" s="697"/>
      <c r="I1" s="1037"/>
      <c r="J1" s="1497"/>
      <c r="Q1" s="868" t="s">
        <v>14</v>
      </c>
    </row>
    <row s="34544" customFormat="1" customHeight="1" ht="14.25">
      <c r="A2" s="1409"/>
      <c r="B2" s="724"/>
      <c r="E2" s="2366" t="str">
        <f>code</f>
        <v>Код отчёта: PP110.OPEN.INFO.QUARTER.HEAT.EIAS</v>
      </c>
      <c r="F2" s="895"/>
      <c r="G2" s="871"/>
      <c r="H2" s="871"/>
      <c r="I2" s="871"/>
      <c r="J2" s="1498"/>
      <c r="K2" s="871"/>
      <c r="Q2" s="697">
        <v>14</v>
      </c>
    </row>
    <row customHeight="1" ht="14.699999999999998">
      <c r="E3" s="872" t="str">
        <f>version</f>
        <v>Версия отчёта: 1.1.1</v>
      </c>
      <c r="F3" s="895"/>
      <c r="G3" s="1396"/>
      <c r="H3" s="1396"/>
      <c r="I3" s="1396"/>
      <c r="J3" s="1499"/>
      <c r="K3" s="714"/>
      <c r="Q3" s="700">
        <v>14</v>
      </c>
    </row>
    <row s="34555" customFormat="1" customHeight="1" ht="6.3">
      <c r="A4" s="1410"/>
      <c r="B4" s="858"/>
      <c r="C4" s="859"/>
      <c r="D4" s="860"/>
      <c r="E4" s="869"/>
      <c r="F4" s="870"/>
      <c r="G4" s="1397"/>
      <c r="H4" s="1035"/>
      <c r="I4" s="1037"/>
      <c r="J4" s="1500"/>
      <c r="Q4" s="862">
        <v>6</v>
      </c>
    </row>
    <row customHeight="1" ht="39.75">
      <c r="D5" s="701"/>
      <c r="E5" s="272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722"/>
      <c r="G5" s="1398"/>
      <c r="J5" s="1501"/>
      <c r="Q5" s="700">
        <v>38</v>
      </c>
    </row>
    <row s="34555" customFormat="1" customHeight="1" ht="6.3">
      <c r="A6" s="1410"/>
      <c r="B6" s="858"/>
      <c r="C6" s="859"/>
      <c r="D6" s="860"/>
      <c r="E6" s="863"/>
      <c r="F6" s="864"/>
      <c r="G6" s="1398"/>
      <c r="H6" s="1035"/>
      <c r="I6" s="1037"/>
      <c r="J6" s="1500"/>
      <c r="Q6" s="862">
        <v>6</v>
      </c>
    </row>
    <row customHeight="1" ht="21">
      <c r="D7" s="701"/>
      <c r="E7" s="1017" t="s">
        <v>15</v>
      </c>
      <c r="F7" s="841" t="s">
        <v>16</v>
      </c>
      <c r="G7" s="1398"/>
      <c r="Q7" s="700">
        <v>20</v>
      </c>
    </row>
    <row s="34555" customFormat="1" customHeight="1" ht="6.3">
      <c r="A8" s="1411"/>
      <c r="B8" s="858"/>
      <c r="C8" s="859"/>
      <c r="D8" s="865"/>
      <c r="E8" s="863"/>
      <c r="F8" s="866"/>
      <c r="G8" s="703"/>
      <c r="H8" s="1035"/>
      <c r="I8" s="1037"/>
      <c r="J8" s="1503"/>
      <c r="Q8" s="862">
        <v>6</v>
      </c>
    </row>
    <row s="34580" customFormat="1" customHeight="1" ht="19.5" hidden="1">
      <c r="A9" s="1410"/>
      <c r="B9" s="724"/>
      <c r="C9" s="1034"/>
      <c r="D9" s="1036"/>
      <c r="E9" s="1791" t="s">
        <v>17</v>
      </c>
      <c r="F9" s="2547"/>
      <c r="G9" s="1398"/>
      <c r="I9" s="2526" t="str">
        <f>IF(TITLE_STRUCTURE_INFO_ROIV="","","раскрывается "&amp;INDEX(ROIV_INFO_COMMENT,MATCH(TITLE_STRUCTURE_INFO_ROIV,ROIV_INFO_LIST,0)))</f>
        <v/>
      </c>
      <c r="J9" s="1502"/>
      <c r="Q9" s="1035">
        <v>0</v>
      </c>
    </row>
    <row s="34555" customFormat="1" customHeight="1" ht="24" hidden="1">
      <c r="A10" s="1411"/>
      <c r="B10" s="1052"/>
      <c r="C10" s="1053"/>
      <c r="D10" s="865"/>
      <c r="E10" s="1791" t="s">
        <v>18</v>
      </c>
      <c r="F10" s="2692" t="s">
        <v>19</v>
      </c>
      <c r="G10" s="703"/>
      <c r="H10" s="1035"/>
      <c r="I10" s="1037"/>
      <c r="J10" s="1503"/>
      <c r="Q10" s="1056">
        <v>24</v>
      </c>
    </row>
    <row customHeight="1" ht="22.5" hidden="1">
      <c r="A11" s="2724" t="s">
        <v>20</v>
      </c>
      <c r="D11" s="701"/>
      <c r="E11" s="1791" t="s">
        <v>21</v>
      </c>
      <c r="F11" s="2358" t="s">
        <v>22</v>
      </c>
      <c r="G11" s="703"/>
      <c r="H11" s="1399" t="s">
        <v>23</v>
      </c>
      <c r="J11" s="1502" t="s">
        <v>24</v>
      </c>
      <c r="Q11" s="700">
        <v>0</v>
      </c>
    </row>
    <row customHeight="1" ht="22.5" hidden="1">
      <c r="A12" s="2724"/>
      <c r="D12" s="701"/>
      <c r="E12" s="1791" t="s">
        <v>25</v>
      </c>
      <c r="F12" s="2358"/>
      <c r="G12" s="699"/>
      <c r="J12" s="1502" t="s">
        <v>26</v>
      </c>
      <c r="Q12" s="700">
        <v>0</v>
      </c>
    </row>
    <row s="34580" customFormat="1" customHeight="1" ht="22.5" hidden="1">
      <c r="A13" s="1414" t="s">
        <v>27</v>
      </c>
      <c r="B13" s="724"/>
      <c r="C13" s="1034"/>
      <c r="D13" s="1036"/>
      <c r="E13" s="2401" t="s">
        <v>28</v>
      </c>
      <c r="F13" s="2358" t="s">
        <v>22</v>
      </c>
      <c r="G13" s="703"/>
      <c r="H13" s="1396"/>
      <c r="I13" s="1037"/>
      <c r="J13" s="2402" t="s">
        <v>29</v>
      </c>
      <c r="Q13" s="1035">
        <v>0</v>
      </c>
    </row>
    <row s="34580" customFormat="1" customHeight="1" ht="27">
      <c r="A14" s="1414" t="s">
        <v>30</v>
      </c>
      <c r="B14" s="724"/>
      <c r="C14" s="1034"/>
      <c r="D14" s="1036"/>
      <c r="E14" s="1791" t="s">
        <v>31</v>
      </c>
      <c r="F14" s="3362">
        <v>2024</v>
      </c>
      <c r="G14" s="703"/>
      <c r="H14" s="1396"/>
      <c r="I14" s="1037"/>
      <c r="J14" s="1502" t="s">
        <v>32</v>
      </c>
      <c r="Q14" s="1035">
        <v>0</v>
      </c>
    </row>
    <row s="34580" customFormat="1" customHeight="1" ht="19.5">
      <c r="A15" s="1414" t="s">
        <v>33</v>
      </c>
      <c r="B15" s="724"/>
      <c r="C15" s="1034"/>
      <c r="D15" s="1036"/>
      <c r="E15" s="1791" t="s">
        <v>34</v>
      </c>
      <c r="F15" s="21320" t="s">
        <v>35</v>
      </c>
      <c r="G15" s="703"/>
      <c r="H15" s="1396"/>
      <c r="I15" s="1037"/>
      <c r="J15" s="1502" t="s">
        <v>36</v>
      </c>
      <c r="Q15" s="1035">
        <v>0</v>
      </c>
    </row>
    <row s="34555" customFormat="1" customHeight="1" ht="6.3">
      <c r="A16" s="1411"/>
      <c r="B16" s="858"/>
      <c r="C16" s="859"/>
      <c r="D16" s="865"/>
      <c r="E16" s="863"/>
      <c r="F16" s="866"/>
      <c r="G16" s="703"/>
      <c r="H16" s="1035"/>
      <c r="I16" s="1037"/>
      <c r="J16" s="1500"/>
      <c r="Q16" s="862">
        <v>6</v>
      </c>
    </row>
    <row customHeight="1" ht="21">
      <c r="D17" s="701"/>
      <c r="E17" s="1017" t="s">
        <v>37</v>
      </c>
      <c r="F17" s="842" t="s">
        <v>38</v>
      </c>
      <c r="G17" s="699"/>
      <c r="H17" s="1399" t="s">
        <v>23</v>
      </c>
      <c r="Q17" s="700">
        <v>20</v>
      </c>
    </row>
    <row customHeight="1" ht="25.5" hidden="1">
      <c r="D18" s="701"/>
      <c r="E18" s="2401" t="s">
        <v>39</v>
      </c>
      <c r="F18" s="2359"/>
      <c r="G18" s="699"/>
      <c r="I18" s="1400"/>
      <c r="J18" s="2723" t="s">
        <v>40</v>
      </c>
      <c r="Q18" s="700">
        <v>0</v>
      </c>
    </row>
    <row customHeight="1" ht="25.5" hidden="1">
      <c r="D19" s="701"/>
      <c r="E19" s="17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359"/>
      <c r="G19" s="699"/>
      <c r="I19" s="1400"/>
      <c r="J19" s="2723"/>
      <c r="Q19" s="700">
        <v>0</v>
      </c>
    </row>
    <row customHeight="1" ht="22.5" hidden="1">
      <c r="D20" s="701"/>
      <c r="E20" s="702"/>
      <c r="F20" s="896" t="str">
        <f>"Первичное "&amp;IF(TEMPLATE_GROUP="P","установление тарифов","предложение по тарифам")</f>
        <v>Первичное предложение по тарифам</v>
      </c>
      <c r="G20" s="699"/>
      <c r="I20" s="1020"/>
      <c r="J20" s="1501" t="s">
        <v>41</v>
      </c>
      <c r="Q20" s="700">
        <v>0</v>
      </c>
    </row>
    <row customHeight="1" ht="19.5" hidden="1">
      <c r="D21" s="701"/>
      <c r="E21" s="1017" t="str">
        <f>"Дата "&amp;IF(TEMPLATE_GROUP="P","документа","подачи заявления")&amp;" об утверждении тарифов"</f>
        <v>Дата подачи заявления об утверждении тарифов</v>
      </c>
      <c r="F21" s="2358"/>
      <c r="G21" s="699"/>
      <c r="I21" s="1401"/>
      <c r="Q21" s="700">
        <v>0</v>
      </c>
    </row>
    <row customHeight="1" ht="19.5" hidden="1">
      <c r="D22" s="701"/>
      <c r="E22" s="1017" t="str">
        <f>"Номер "&amp;IF(TEMPLATE_GROUP="P","документа","подачи заявления")&amp;" об утверждении тарифов"</f>
        <v>Номер подачи заявления об утверждении тарифов</v>
      </c>
      <c r="F22" s="842"/>
      <c r="G22" s="699"/>
      <c r="I22" s="1401"/>
      <c r="Q22" s="700">
        <v>0</v>
      </c>
    </row>
    <row customHeight="1" ht="22.5" hidden="1">
      <c r="D23" s="701"/>
      <c r="E23" s="1017" t="s">
        <v>42</v>
      </c>
      <c r="F23" s="842"/>
      <c r="G23" s="699"/>
      <c r="Q23" s="700">
        <v>0</v>
      </c>
    </row>
    <row customHeight="1" ht="19.5" hidden="1">
      <c r="D24" s="701"/>
      <c r="E24" s="1017" t="s">
        <v>43</v>
      </c>
      <c r="F24" s="842"/>
      <c r="G24" s="699"/>
      <c r="Q24" s="700">
        <v>0</v>
      </c>
    </row>
    <row customHeight="1" ht="22.5" hidden="1">
      <c r="D25" s="701"/>
      <c r="E25" s="702"/>
      <c r="F25" s="896" t="str">
        <f>"Изменение "&amp;IF(TEMPLATE_GROUP="P","тарифов","предложения по тарифам")</f>
        <v>Изменение предложения по тарифам</v>
      </c>
      <c r="G25" s="699"/>
      <c r="J25" s="1501" t="s">
        <v>44</v>
      </c>
      <c r="Q25" s="700">
        <v>0</v>
      </c>
    </row>
    <row customHeight="1" ht="19.5" hidden="1">
      <c r="D26" s="701"/>
      <c r="E26" s="1017" t="str">
        <f>"Дата "&amp;IF(TEMPLATE_GROUP="P","принятия решения","подачи заявления")&amp;" об изменении тарифов"</f>
        <v>Дата подачи заявления об изменении тарифов</v>
      </c>
      <c r="F26" s="2359"/>
      <c r="G26" s="699"/>
      <c r="Q26" s="700">
        <v>0</v>
      </c>
    </row>
    <row customHeight="1" ht="19.5" hidden="1">
      <c r="D27" s="701"/>
      <c r="E27" s="1791" t="str">
        <f>"Номер "&amp;IF(TEMPLATE_GROUP="P","принятия решения","заявления")&amp;" об изменении тарифов"</f>
        <v>Номер заявления об изменении тарифов</v>
      </c>
      <c r="F27" s="844"/>
      <c r="G27" s="699"/>
      <c r="Q27" s="700">
        <v>0</v>
      </c>
    </row>
    <row customHeight="1" ht="24.75" hidden="1">
      <c r="D28" s="701"/>
      <c r="E28" s="1017" t="s">
        <v>45</v>
      </c>
      <c r="F28" s="844"/>
      <c r="G28" s="699"/>
      <c r="Q28" s="700">
        <v>0</v>
      </c>
    </row>
    <row customHeight="1" ht="19.5" hidden="1">
      <c r="D29" s="701"/>
      <c r="E29" s="1017" t="s">
        <v>43</v>
      </c>
      <c r="F29" s="844"/>
      <c r="G29" s="699"/>
      <c r="Q29" s="700">
        <v>0</v>
      </c>
    </row>
    <row s="34555" customFormat="1" customHeight="1" ht="6.3">
      <c r="A30" s="1411"/>
      <c r="B30" s="858"/>
      <c r="C30" s="859"/>
      <c r="D30" s="865"/>
      <c r="E30" s="863"/>
      <c r="F30" s="866"/>
      <c r="G30" s="703"/>
      <c r="H30" s="1035"/>
      <c r="I30" s="1037"/>
      <c r="J30" s="1500"/>
      <c r="Q30" s="862">
        <v>6</v>
      </c>
    </row>
    <row customHeight="1" ht="21">
      <c r="C31" s="704"/>
      <c r="D31" s="705"/>
      <c r="E31" s="1017" t="str">
        <f>"Наименование "&amp;IF(TEMPLATE_GROUP="ROIV","органа тарифного регулирования","ЮЛ / ИП")</f>
        <v>Наименование ЮЛ / ИП</v>
      </c>
      <c r="F31" s="843" t="s">
        <v>46</v>
      </c>
      <c r="G31" s="1402"/>
      <c r="Q31" s="700">
        <v>20</v>
      </c>
    </row>
    <row customHeight="1" ht="21" hidden="1">
      <c r="C32" s="704"/>
      <c r="D32" s="705"/>
      <c r="E32" s="1018" t="s">
        <v>47</v>
      </c>
      <c r="F32" s="843"/>
      <c r="G32" s="1402"/>
      <c r="Q32" s="700">
        <v>20</v>
      </c>
    </row>
    <row customHeight="1" ht="21">
      <c r="C33" s="704"/>
      <c r="D33" s="705"/>
      <c r="E33" s="1017" t="s">
        <v>48</v>
      </c>
      <c r="F33" s="843" t="s">
        <v>49</v>
      </c>
      <c r="G33" s="1402"/>
      <c r="Q33" s="700">
        <v>20</v>
      </c>
    </row>
    <row customHeight="1" ht="21">
      <c r="C34" s="704"/>
      <c r="D34" s="705"/>
      <c r="E34" s="1017" t="s">
        <v>50</v>
      </c>
      <c r="F34" s="843" t="s">
        <v>51</v>
      </c>
      <c r="G34" s="1402"/>
      <c r="H34" s="706"/>
      <c r="Q34" s="700">
        <v>20</v>
      </c>
    </row>
    <row s="34555" customFormat="1" customHeight="1" ht="11.549999999999999">
      <c r="A35" s="1411"/>
      <c r="B35" s="858"/>
      <c r="C35" s="859"/>
      <c r="D35" s="865"/>
      <c r="E35" s="863"/>
      <c r="F35" s="866"/>
      <c r="G35" s="703"/>
      <c r="H35" s="1035"/>
      <c r="I35" s="1037"/>
      <c r="J35" s="1500"/>
      <c r="Q35" s="862">
        <v>11</v>
      </c>
    </row>
    <row customHeight="1" ht="19.5">
      <c r="A36" s="1505"/>
      <c r="D36" s="705"/>
      <c r="E36" s="1017" t="s">
        <v>52</v>
      </c>
      <c r="F36" s="27985" t="s">
        <v>53</v>
      </c>
      <c r="G36" s="703"/>
      <c r="Q36" s="700">
        <v>0</v>
      </c>
    </row>
    <row customHeight="1" ht="21">
      <c r="A37" s="1505"/>
      <c r="D37" s="705"/>
      <c r="E37" s="1017" t="s">
        <v>54</v>
      </c>
      <c r="F37" s="3379" t="s">
        <v>55</v>
      </c>
      <c r="G37" s="703"/>
      <c r="Q37" s="700">
        <v>20</v>
      </c>
    </row>
    <row s="34555" customFormat="1" customHeight="1" ht="6.3">
      <c r="A38" s="1411"/>
      <c r="B38" s="858"/>
      <c r="C38" s="859"/>
      <c r="D38" s="860"/>
      <c r="E38" s="861"/>
      <c r="F38" s="1679"/>
      <c r="G38" s="699"/>
      <c r="H38" s="1035"/>
      <c r="I38" s="1037"/>
      <c r="J38" s="1502"/>
      <c r="Q38" s="862">
        <v>6</v>
      </c>
    </row>
    <row customHeight="1" ht="36.75">
      <c r="A39" s="1411"/>
      <c r="D39" s="701"/>
      <c r="E39" s="1017" t="s">
        <v>56</v>
      </c>
      <c r="F39" s="1336" t="s">
        <v>19</v>
      </c>
      <c r="G39" s="699"/>
      <c r="H39" s="1399" t="s">
        <v>23</v>
      </c>
      <c r="Q39" s="700">
        <v>35</v>
      </c>
    </row>
    <row s="34555" customFormat="1" customHeight="1" ht="6" hidden="1">
      <c r="A40" s="1410"/>
      <c r="B40" s="1052"/>
      <c r="C40" s="1053"/>
      <c r="D40" s="1054"/>
      <c r="E40" s="1055"/>
      <c r="F40" s="1679"/>
      <c r="G40" s="699"/>
      <c r="H40" s="1035"/>
      <c r="I40" s="1037"/>
      <c r="J40" s="1502"/>
      <c r="Q40" s="1056">
        <v>6</v>
      </c>
    </row>
    <row s="34580" customFormat="1" customHeight="1" ht="26.25" hidden="1">
      <c r="A41" s="1414" t="s">
        <v>27</v>
      </c>
      <c r="B41" s="1039"/>
      <c r="C41" s="1034"/>
      <c r="D41" s="1036"/>
      <c r="E41" s="101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336" t="s">
        <v>19</v>
      </c>
      <c r="G41" s="699"/>
      <c r="I41" s="1037"/>
      <c r="J41" s="1502"/>
      <c r="Q41" s="1035">
        <v>0</v>
      </c>
    </row>
    <row s="34555" customFormat="1" customHeight="1" ht="6" hidden="1">
      <c r="A42" s="1410"/>
      <c r="B42" s="1052"/>
      <c r="C42" s="1053"/>
      <c r="D42" s="1054"/>
      <c r="E42" s="1055"/>
      <c r="F42" s="1679"/>
      <c r="G42" s="699"/>
      <c r="H42" s="1035"/>
      <c r="I42" s="1037"/>
      <c r="J42" s="1500"/>
      <c r="Q42" s="1056">
        <v>0</v>
      </c>
    </row>
    <row s="34580" customFormat="1" customHeight="1" ht="27" hidden="1">
      <c r="A43" s="1410"/>
      <c r="B43" s="1039"/>
      <c r="C43" s="1034"/>
      <c r="D43" s="1036"/>
      <c r="E43" s="1017" t="s">
        <v>57</v>
      </c>
      <c r="F43" s="1336" t="s">
        <v>19</v>
      </c>
      <c r="G43" s="699"/>
      <c r="I43" s="1037"/>
      <c r="J43" s="1502"/>
      <c r="Q43" s="1035">
        <v>0</v>
      </c>
    </row>
    <row s="34580" customFormat="1" customHeight="1" ht="27" hidden="1">
      <c r="A44" s="1410"/>
      <c r="B44" s="1039"/>
      <c r="C44" s="1034"/>
      <c r="D44" s="1036"/>
      <c r="E44" s="1791" t="s">
        <v>58</v>
      </c>
      <c r="F44" s="2514"/>
      <c r="G44" s="699"/>
      <c r="I44" s="1037"/>
      <c r="J44" s="1502"/>
      <c r="Q44" s="1035">
        <v>0</v>
      </c>
    </row>
    <row s="34555" customFormat="1" customHeight="1" ht="6" hidden="1">
      <c r="A45" s="1410"/>
      <c r="B45" s="1052"/>
      <c r="C45" s="1053"/>
      <c r="D45" s="1054"/>
      <c r="E45" s="1055"/>
      <c r="F45" s="1679"/>
      <c r="G45" s="699"/>
      <c r="H45" s="1035"/>
      <c r="I45" s="1037"/>
      <c r="J45" s="1502"/>
      <c r="Q45" s="1056">
        <v>0</v>
      </c>
    </row>
    <row s="34555" customFormat="1" customHeight="1" ht="24.75" hidden="1">
      <c r="A46" s="1410"/>
      <c r="B46" s="1052"/>
      <c r="C46" s="1053"/>
      <c r="D46" s="1054"/>
      <c r="E46" s="1791" t="s">
        <v>59</v>
      </c>
      <c r="F46" s="1336" t="s">
        <v>19</v>
      </c>
      <c r="G46" s="699"/>
      <c r="H46" s="1035"/>
      <c r="I46" s="1037"/>
      <c r="J46" s="1502"/>
      <c r="Q46" s="1056">
        <v>0</v>
      </c>
    </row>
    <row s="34580" customFormat="1" customHeight="1" ht="24.75" hidden="1">
      <c r="A47" s="1410"/>
      <c r="B47" s="1039"/>
      <c r="C47" s="1034"/>
      <c r="D47" s="1036"/>
      <c r="E47" s="1791" t="s">
        <v>60</v>
      </c>
      <c r="F47" s="1336" t="s">
        <v>19</v>
      </c>
      <c r="G47" s="699"/>
      <c r="I47" s="1037"/>
      <c r="J47" s="1502"/>
      <c r="Q47" s="1035">
        <v>0</v>
      </c>
    </row>
    <row s="34555" customFormat="1" customHeight="1" ht="6" hidden="1">
      <c r="A48" s="1410"/>
      <c r="B48" s="858"/>
      <c r="C48" s="859"/>
      <c r="D48" s="860"/>
      <c r="E48" s="861"/>
      <c r="F48" s="1679"/>
      <c r="G48" s="699"/>
      <c r="H48" s="1035"/>
      <c r="I48" s="1037"/>
      <c r="J48" s="1502"/>
      <c r="Q48" s="862">
        <v>0</v>
      </c>
    </row>
    <row customHeight="1" ht="29.25" hidden="1">
      <c r="B49" s="774"/>
      <c r="D49" s="701"/>
      <c r="E49" s="101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336"/>
      <c r="G49" s="699"/>
      <c r="Q49" s="700">
        <v>0</v>
      </c>
    </row>
    <row s="34555" customFormat="1" customHeight="1" ht="6" hidden="1">
      <c r="A50" s="1411"/>
      <c r="B50" s="1052"/>
      <c r="C50" s="1053"/>
      <c r="D50" s="865"/>
      <c r="E50" s="863"/>
      <c r="F50" s="866"/>
      <c r="G50" s="703"/>
      <c r="H50" s="1035"/>
      <c r="I50" s="1037"/>
      <c r="J50" s="1502"/>
      <c r="Q50" s="1056">
        <v>0</v>
      </c>
    </row>
    <row s="34580" customFormat="1" customHeight="1" ht="28.5" hidden="1">
      <c r="A51" s="1412"/>
      <c r="B51" s="1039"/>
      <c r="C51" s="1156"/>
      <c r="D51" s="1157"/>
      <c r="E51" s="1017" t="s">
        <v>61</v>
      </c>
      <c r="F51" s="1336" t="s">
        <v>19</v>
      </c>
      <c r="G51" s="1158"/>
      <c r="I51" s="1160"/>
      <c r="J51" s="1504"/>
      <c r="P51" s="1161"/>
      <c r="Q51" s="1159">
        <v>0</v>
      </c>
    </row>
    <row s="34555" customFormat="1" customHeight="1" ht="6" hidden="1">
      <c r="A52" s="1411"/>
      <c r="B52" s="1052"/>
      <c r="C52" s="1053"/>
      <c r="D52" s="865"/>
      <c r="E52" s="863"/>
      <c r="F52" s="866"/>
      <c r="G52" s="703"/>
      <c r="H52" s="1035"/>
      <c r="I52" s="1037"/>
      <c r="J52" s="1500"/>
      <c r="Q52" s="1056">
        <v>0</v>
      </c>
    </row>
    <row s="34580" customFormat="1" customHeight="1" ht="27" hidden="1">
      <c r="A53" s="1412"/>
      <c r="B53" s="1039"/>
      <c r="C53" s="1156"/>
      <c r="D53" s="1157"/>
      <c r="E53" s="1017" t="s">
        <v>62</v>
      </c>
      <c r="F53" s="1674" t="s">
        <v>19</v>
      </c>
      <c r="G53" s="1158"/>
      <c r="I53" s="1160"/>
      <c r="J53" s="1504"/>
      <c r="P53" s="1161"/>
      <c r="Q53" s="1159">
        <v>0</v>
      </c>
    </row>
    <row s="34580" customFormat="1" customHeight="1" ht="27" hidden="1">
      <c r="A54" s="1412"/>
      <c r="B54" s="1039"/>
      <c r="C54" s="1156"/>
      <c r="D54" s="1157"/>
      <c r="E54" s="1017" t="s">
        <v>63</v>
      </c>
      <c r="F54" s="2400"/>
      <c r="G54" s="1158"/>
      <c r="I54" s="1160"/>
      <c r="J54" s="1504"/>
      <c r="P54" s="1161"/>
      <c r="Q54" s="1159">
        <v>0</v>
      </c>
    </row>
    <row s="34555" customFormat="1" customHeight="1" ht="6" hidden="1">
      <c r="A55" s="1411"/>
      <c r="B55" s="1052"/>
      <c r="C55" s="1053"/>
      <c r="D55" s="865"/>
      <c r="E55" s="863"/>
      <c r="F55" s="866"/>
      <c r="G55" s="703"/>
      <c r="H55" s="1035"/>
      <c r="I55" s="1037"/>
      <c r="J55" s="1500"/>
      <c r="Q55" s="1056">
        <v>0</v>
      </c>
    </row>
    <row s="34580" customFormat="1" customHeight="1" ht="25.5" hidden="1">
      <c r="A56" s="1412"/>
      <c r="B56" s="1039"/>
      <c r="C56" s="1156"/>
      <c r="D56" s="1157"/>
      <c r="E56" s="1017" t="s">
        <v>64</v>
      </c>
      <c r="F56" s="1674" t="s">
        <v>19</v>
      </c>
      <c r="G56" s="1158"/>
      <c r="I56" s="1160"/>
      <c r="J56" s="1504"/>
      <c r="P56" s="1161"/>
      <c r="Q56" s="1159">
        <v>0</v>
      </c>
    </row>
    <row s="34555" customFormat="1" customHeight="1" ht="6" hidden="1">
      <c r="A57" s="1411"/>
      <c r="B57" s="1052"/>
      <c r="C57" s="1053"/>
      <c r="D57" s="865"/>
      <c r="E57" s="863"/>
      <c r="F57" s="866"/>
      <c r="G57" s="703"/>
      <c r="H57" s="1035"/>
      <c r="I57" s="1037"/>
      <c r="J57" s="1500"/>
      <c r="Q57" s="1056">
        <v>0</v>
      </c>
    </row>
    <row s="34580" customFormat="1" customHeight="1" ht="15" hidden="1">
      <c r="A58" s="1412"/>
      <c r="B58" s="1039"/>
      <c r="C58" s="1156"/>
      <c r="D58" s="1157"/>
      <c r="E58" s="1017" t="s">
        <v>65</v>
      </c>
      <c r="F58" s="1674" t="s">
        <v>66</v>
      </c>
      <c r="G58" s="1158"/>
      <c r="I58" s="1160"/>
      <c r="J58" s="1504"/>
      <c r="P58" s="1161"/>
      <c r="Q58" s="1159">
        <v>0</v>
      </c>
    </row>
    <row s="34580" customFormat="1" customHeight="1" ht="75" hidden="1">
      <c r="A59" s="1412"/>
      <c r="B59" s="1039"/>
      <c r="C59" s="1156"/>
      <c r="D59" s="1157"/>
      <c r="E59" s="101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815"/>
      <c r="G59" s="1158"/>
      <c r="I59" s="1160"/>
      <c r="J59" s="1504"/>
      <c r="P59" s="1161"/>
      <c r="Q59" s="1159">
        <v>0</v>
      </c>
    </row>
    <row s="34580" customFormat="1" customHeight="1" ht="15" hidden="1">
      <c r="A60" s="1412"/>
      <c r="B60" s="1039"/>
      <c r="C60" s="1156"/>
      <c r="D60" s="1157"/>
      <c r="E60" s="1791" t="s">
        <v>67</v>
      </c>
      <c r="F60" s="1777"/>
      <c r="G60" s="1158"/>
      <c r="I60" s="1160"/>
      <c r="J60" s="1504"/>
      <c r="P60" s="1161"/>
      <c r="Q60" s="1159">
        <v>0</v>
      </c>
    </row>
    <row s="34555" customFormat="1" customHeight="1" ht="6" hidden="1">
      <c r="A61" s="1411"/>
      <c r="B61" s="1052"/>
      <c r="C61" s="1053"/>
      <c r="D61" s="1054"/>
      <c r="E61" s="1055"/>
      <c r="F61" s="1679"/>
      <c r="G61" s="699"/>
      <c r="H61" s="1035"/>
      <c r="I61" s="1037"/>
      <c r="J61" s="1502"/>
      <c r="Q61" s="1056">
        <v>0</v>
      </c>
    </row>
    <row s="34580" customFormat="1" customHeight="1" ht="33.75" hidden="1">
      <c r="A62" s="1411"/>
      <c r="B62" s="724"/>
      <c r="C62" s="1034"/>
      <c r="D62" s="1036"/>
      <c r="E62" s="1791" t="s">
        <v>68</v>
      </c>
      <c r="F62" s="2297" t="s">
        <v>66</v>
      </c>
      <c r="G62" s="699"/>
      <c r="H62" s="1399" t="s">
        <v>23</v>
      </c>
      <c r="I62" s="1037"/>
      <c r="J62" s="1502"/>
      <c r="Q62" s="1035">
        <v>0</v>
      </c>
    </row>
    <row s="34555" customFormat="1" customHeight="1" ht="6.3">
      <c r="A63" s="1411"/>
      <c r="B63" s="858"/>
      <c r="C63" s="859"/>
      <c r="D63" s="865"/>
      <c r="E63" s="863"/>
      <c r="F63" s="866"/>
      <c r="G63" s="703"/>
      <c r="H63" s="1035"/>
      <c r="I63" s="1037"/>
      <c r="J63" s="1500"/>
      <c r="Q63" s="862">
        <v>6</v>
      </c>
    </row>
    <row customHeight="1" ht="21">
      <c r="A64" s="1413"/>
      <c r="B64" s="725"/>
      <c r="D64" s="708"/>
      <c r="E64" s="1017" t="s">
        <v>69</v>
      </c>
      <c r="F64" s="842" t="s">
        <v>70</v>
      </c>
      <c r="G64" s="703"/>
      <c r="Q64" s="700">
        <v>20</v>
      </c>
    </row>
    <row customHeight="1" ht="21">
      <c r="A65" s="1413"/>
      <c r="B65" s="725"/>
      <c r="D65" s="708"/>
      <c r="E65" s="1017" t="s">
        <v>71</v>
      </c>
      <c r="F65" s="842" t="s">
        <v>72</v>
      </c>
      <c r="G65" s="703"/>
      <c r="Q65" s="700">
        <v>20</v>
      </c>
    </row>
    <row customHeight="1" ht="36.75">
      <c r="D66" s="701"/>
      <c r="E66" s="1019" t="s">
        <v>73</v>
      </c>
      <c r="F66" s="1680"/>
      <c r="G66" s="699"/>
      <c r="Q66" s="700">
        <v>35</v>
      </c>
    </row>
    <row customHeight="1" ht="21">
      <c r="A67" s="1413"/>
      <c r="D67" s="1036"/>
      <c r="E67" s="1017" t="s">
        <v>74</v>
      </c>
      <c r="F67" s="897" t="s">
        <v>75</v>
      </c>
      <c r="G67" s="703"/>
      <c r="Q67" s="700">
        <v>20</v>
      </c>
    </row>
    <row customHeight="1" ht="21">
      <c r="A68" s="1413"/>
      <c r="B68" s="725"/>
      <c r="D68" s="708"/>
      <c r="E68" s="1017" t="s">
        <v>76</v>
      </c>
      <c r="F68" s="897" t="s">
        <v>77</v>
      </c>
      <c r="G68" s="703"/>
      <c r="Q68" s="700">
        <v>20</v>
      </c>
    </row>
    <row customHeight="1" ht="21">
      <c r="A69" s="1413"/>
      <c r="B69" s="725"/>
      <c r="D69" s="708"/>
      <c r="E69" s="1017" t="s">
        <v>78</v>
      </c>
      <c r="F69" s="897" t="s">
        <v>79</v>
      </c>
      <c r="G69" s="703"/>
      <c r="Q69" s="700">
        <v>20</v>
      </c>
    </row>
    <row customHeight="1" ht="21">
      <c r="D70" s="1036"/>
      <c r="E70" s="1017" t="s">
        <v>80</v>
      </c>
      <c r="F70" s="897" t="s">
        <v>81</v>
      </c>
      <c r="G70" s="699"/>
      <c r="Q70" s="700">
        <v>20</v>
      </c>
    </row>
    <row customHeight="1" ht="21">
      <c r="A71" s="1413"/>
      <c r="D71" s="699"/>
      <c r="F71" s="759"/>
      <c r="G71" s="703"/>
      <c r="Q71" s="700">
        <v>20</v>
      </c>
    </row>
    <row customHeight="1" ht="21">
      <c r="A72" s="1413"/>
      <c r="B72" s="725"/>
      <c r="D72" s="708"/>
      <c r="E72" s="707"/>
      <c r="F72" s="1659" t="s">
        <v>13</v>
      </c>
      <c r="G72" s="703"/>
      <c r="Q72" s="700">
        <v>20</v>
      </c>
    </row>
    <row customHeight="1" ht="21">
      <c r="A73" s="1413"/>
      <c r="B73" s="725"/>
      <c r="D73" s="708"/>
      <c r="E73" s="707"/>
      <c r="F73" s="760"/>
      <c r="G73" s="703"/>
      <c r="Q73" s="700">
        <v>20</v>
      </c>
    </row>
    <row customHeight="1" ht="21">
      <c r="A74" s="1413"/>
      <c r="B74" s="725"/>
      <c r="D74" s="708"/>
      <c r="E74" s="712"/>
      <c r="F74" s="760"/>
      <c r="G74" s="703"/>
      <c r="Q74" s="700">
        <v>20</v>
      </c>
    </row>
    <row customHeight="1" ht="21">
      <c r="A75" s="1413"/>
      <c r="B75" s="725"/>
      <c r="D75" s="708"/>
      <c r="E75" s="707"/>
      <c r="F75" s="760"/>
      <c r="G75" s="703"/>
      <c r="Q75" s="700">
        <v>20</v>
      </c>
    </row>
    <row customHeight="1" ht="11.549999999999999">
      <c r="Q76" s="700">
        <v>11</v>
      </c>
    </row>
    <row customHeight="1" ht="11.549999999999999">
      <c r="Q77" s="700">
        <v>11</v>
      </c>
    </row>
    <row customHeight="1" ht="11.549999999999999">
      <c r="E78" s="1016"/>
      <c r="F78" s="1016"/>
      <c r="G78" s="1016"/>
      <c r="H78" s="1016"/>
      <c r="I78" s="1016"/>
      <c r="Q78" s="700">
        <v>11</v>
      </c>
    </row>
    <row customHeight="1" ht="11.25" hidden="1">
      <c r="A79" s="1410" t="s">
        <v>82</v>
      </c>
      <c r="B79" s="724">
        <v>0</v>
      </c>
      <c r="C79" s="698">
        <v>3</v>
      </c>
      <c r="D79" s="700">
        <v>1</v>
      </c>
      <c r="E79" s="700">
        <v>55</v>
      </c>
      <c r="F79" s="700">
        <v>54</v>
      </c>
      <c r="G79" s="1397">
        <v>1</v>
      </c>
      <c r="H79" s="1035">
        <v>0</v>
      </c>
      <c r="I79" s="1037">
        <v>59</v>
      </c>
      <c r="J79" s="1502">
        <v>0</v>
      </c>
      <c r="K79" s="700">
        <v>8</v>
      </c>
      <c r="L79" s="700">
        <v>77</v>
      </c>
      <c r="M79" s="700">
        <v>8</v>
      </c>
      <c r="N79" s="700">
        <v>8</v>
      </c>
      <c r="O79" s="700">
        <v>8</v>
      </c>
      <c r="P79" s="700">
        <v>8</v>
      </c>
      <c r="Q79" s="700">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6EFCE731-68E7-FF7B-3807-7FD7035AA443}"/>
    <hyperlink ref="H17" location="Титульный!H9" display="Как заполнить?" tooltip="Помощь по работе с полями отчётной формы" xr:uid="{9716EAA2-7D9F-7AAE-E2AD-0000B3DEEE1D}"/>
    <hyperlink ref="H39" location="Титульный!H9" display="Как заполнить?" tooltip="Помощь по работе с полями отчётной формы" xr:uid="{58C99881-7751-7AE4-CDBC-ED0A9EC77689}"/>
    <hyperlink ref="H62" location="Титульный!H9" display="Как заполнить?" tooltip="Помощь по работе с полями отчётной формы" xr:uid="{6AA26B3F-F0BC-CE2A-A482-3E89512B48B7}"/>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43C3CB-BB37-A4B8-770F-98CB617E648A}"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2.00390625" hidden="1" customWidth="1"/>
    <col min="10" max="10" style="34657" width="9.8515625" hidden="1" customWidth="1"/>
    <col min="11" max="11" style="34657" width="11.421875" hidden="1" customWidth="1"/>
    <col min="12" max="12" style="35439" width="19.140625" hidden="1" customWidth="1"/>
    <col min="13" max="14" style="35440" width="12.28125" hidden="1" customWidth="1"/>
    <col min="15" max="15" style="35440" width="23.421875" hidden="1" customWidth="1"/>
    <col min="16" max="16" style="35440" width="3.00390625" customWidth="1"/>
    <col min="17" max="17" style="35625" width="3.00390625" customWidth="1"/>
    <col min="18" max="18" style="35442" width="3.00390625" customWidth="1"/>
    <col min="19" max="19" style="35443" width="12.00390625" customWidth="1"/>
    <col min="20" max="20" style="34580" width="31.00390625" customWidth="1"/>
    <col min="21" max="21" style="34580" width="0.140625" customWidth="1"/>
    <col min="22" max="23" style="34580" width="21.7109375" hidden="1" customWidth="1"/>
    <col min="24" max="24" style="34580" width="11.7109375" hidden="1" customWidth="1"/>
    <col min="25" max="25" style="34580" width="3.7109375" hidden="1" customWidth="1"/>
    <col min="26" max="26" style="34580" width="11.7109375" hidden="1" customWidth="1"/>
    <col min="27" max="27" style="34580" width="8.57421875" hidden="1" customWidth="1"/>
    <col min="28" max="28" style="34580" width="5.421875" customWidth="1"/>
    <col min="29" max="30" style="34580" width="3.00390625" customWidth="1"/>
    <col min="31" max="31" style="34580" width="24.00390625" customWidth="1"/>
    <col min="32" max="32" style="34580" width="3.7109375" customWidth="1"/>
    <col min="33" max="34" style="34580" width="3.00390625" customWidth="1"/>
    <col min="35" max="35" style="34580" width="24.00390625" customWidth="1"/>
    <col min="36" max="36" style="34580" width="3.7109375" customWidth="1"/>
    <col min="37" max="38" style="34580" width="3.00390625" customWidth="1"/>
    <col min="39" max="39" style="34580" width="18.00390625" customWidth="1"/>
    <col min="40" max="41" style="34580" width="21.00390625" customWidth="1"/>
    <col min="42" max="42" style="34580" width="11.00390625" customWidth="1"/>
    <col min="43" max="43" style="34580" width="3.7109375" customWidth="1"/>
    <col min="44" max="44" style="34580" width="11.00390625" customWidth="1"/>
    <col min="45" max="45" style="34580" width="8.57421875" hidden="1" customWidth="1"/>
    <col min="46" max="46" style="34580" width="4.00390625" customWidth="1"/>
    <col min="47" max="47" style="34580" width="115.00390625" customWidth="1"/>
    <col min="48" max="52" style="34658" width="10.00390625" customWidth="1"/>
    <col min="53" max="53" style="34580" width="10.57421875" hidden="1"/>
  </cols>
  <sheetData>
    <row customHeight="1" ht="22.5" hidden="1">
      <c r="W1" s="953"/>
      <c r="X1" s="953"/>
      <c r="AO1" s="953"/>
      <c r="AP1" s="953"/>
      <c r="BA1" s="1781" t="s">
        <v>14</v>
      </c>
    </row>
    <row customHeight="1" ht="21" hidden="1">
      <c r="A2" s="1989"/>
      <c r="B2" s="1989"/>
      <c r="C2" s="1989"/>
      <c r="D2" s="1989"/>
      <c r="E2" s="2884">
        <v>1</v>
      </c>
      <c r="F2" s="1989"/>
      <c r="G2" s="1989"/>
      <c r="H2" s="1989"/>
      <c r="I2" s="1989"/>
      <c r="J2" s="1989"/>
      <c r="K2" s="1989"/>
      <c r="L2" s="1990"/>
      <c r="M2" s="1991"/>
      <c r="N2" s="1991"/>
      <c r="O2" s="1991"/>
      <c r="P2" s="2035"/>
      <c r="Q2" s="1499"/>
      <c r="R2" s="981"/>
      <c r="S2" s="1962">
        <f>INDEX(PT_DIFFERENTIATION_NUM_NTAR,MATCH(A2,PT_DIFFERENTIATION_NTAR_ID,0))</f>
      </c>
      <c r="T2" s="924" t="s">
        <v>143</v>
      </c>
      <c r="U2" s="926"/>
      <c r="V2" s="2869"/>
      <c r="W2" s="2869"/>
      <c r="X2" s="2869"/>
      <c r="Y2" s="2869"/>
      <c r="Z2" s="2869"/>
      <c r="AA2" s="2870"/>
      <c r="AB2" s="2868">
        <f>INDEX(PT_DIFFERENTIATION_NTAR,MATCH(A2,PT_DIFFERENTIATION_NTAR_ID,0))</f>
      </c>
      <c r="AC2" s="2869"/>
      <c r="AD2" s="2869"/>
      <c r="AE2" s="2869"/>
      <c r="AF2" s="2869"/>
      <c r="AG2" s="2869"/>
      <c r="AH2" s="2869"/>
      <c r="AI2" s="2869"/>
      <c r="AJ2" s="2869"/>
      <c r="AK2" s="2869"/>
      <c r="AL2" s="2869"/>
      <c r="AM2" s="2869"/>
      <c r="AN2" s="2869"/>
      <c r="AO2" s="2869"/>
      <c r="AP2" s="2869"/>
      <c r="AQ2" s="2869"/>
      <c r="AR2" s="2869"/>
      <c r="AS2" s="2869"/>
      <c r="AT2" s="2870"/>
      <c r="AU2" s="1884" t="s">
        <v>414</v>
      </c>
      <c r="AW2" s="1126"/>
      <c r="AX2" s="1126" t="str">
        <f>IF(T2="","",T2)</f>
        <v>Наименование тарифа</v>
      </c>
      <c r="AY2" s="1126"/>
      <c r="AZ2" s="1126"/>
      <c r="BA2" s="1781">
        <v>0</v>
      </c>
    </row>
    <row customHeight="1" ht="21" hidden="1">
      <c r="A3" s="1989"/>
      <c r="B3" s="1989"/>
      <c r="C3" s="1989"/>
      <c r="D3" s="1989"/>
      <c r="E3" s="2885"/>
      <c r="F3" s="2884">
        <v>1</v>
      </c>
      <c r="G3" s="1989"/>
      <c r="H3" s="1989"/>
      <c r="I3" s="1989"/>
      <c r="J3" s="1989"/>
      <c r="K3" s="1989"/>
      <c r="L3" s="1990"/>
      <c r="M3" s="1991"/>
      <c r="N3" s="1991"/>
      <c r="O3" s="1991"/>
      <c r="P3" s="2036"/>
      <c r="Q3" s="2037"/>
      <c r="R3" s="979"/>
      <c r="S3" s="1962">
        <f>INDEX(PT_DIFFERENTIATION_NUM_TER,MATCH(B3,PT_DIFFERENTIATION_TER_ID,0))</f>
      </c>
      <c r="T3" s="934" t="s">
        <v>415</v>
      </c>
      <c r="U3" s="926"/>
      <c r="V3" s="2869"/>
      <c r="W3" s="2869"/>
      <c r="X3" s="2869"/>
      <c r="Y3" s="2869"/>
      <c r="Z3" s="2869"/>
      <c r="AA3" s="2870"/>
      <c r="AB3" s="2868">
        <f>INDEX(PT_DIFFERENTIATION_TER,MATCH(B3,PT_DIFFERENTIATION_TER_ID,0))</f>
      </c>
      <c r="AC3" s="2869"/>
      <c r="AD3" s="2869"/>
      <c r="AE3" s="2869"/>
      <c r="AF3" s="2869"/>
      <c r="AG3" s="2869"/>
      <c r="AH3" s="2869"/>
      <c r="AI3" s="2869"/>
      <c r="AJ3" s="2869"/>
      <c r="AK3" s="2869"/>
      <c r="AL3" s="2869"/>
      <c r="AM3" s="2869"/>
      <c r="AN3" s="2869"/>
      <c r="AO3" s="2869"/>
      <c r="AP3" s="2869"/>
      <c r="AQ3" s="2869"/>
      <c r="AR3" s="2869"/>
      <c r="AS3" s="2869"/>
      <c r="AT3" s="2870"/>
      <c r="AU3" s="1884" t="s">
        <v>416</v>
      </c>
      <c r="AW3" s="1126"/>
      <c r="AX3" s="1126" t="str">
        <f>IF(T3="","",T3)</f>
        <v>Территория действия тарифа</v>
      </c>
      <c r="AY3" s="1126"/>
      <c r="AZ3" s="1126"/>
      <c r="BA3" s="1781">
        <v>0</v>
      </c>
    </row>
    <row customHeight="1" ht="22.5" hidden="1">
      <c r="A4" s="1989"/>
      <c r="B4" s="1989"/>
      <c r="C4" s="1989"/>
      <c r="D4" s="1989"/>
      <c r="E4" s="2885"/>
      <c r="F4" s="2885"/>
      <c r="G4" s="2884">
        <v>1</v>
      </c>
      <c r="H4" s="1989"/>
      <c r="I4" s="1989"/>
      <c r="J4" s="1989"/>
      <c r="K4" s="1989"/>
      <c r="L4" s="1990"/>
      <c r="M4" s="1991"/>
      <c r="N4" s="1991"/>
      <c r="O4" s="1991"/>
      <c r="P4" s="2038"/>
      <c r="Q4" s="2037"/>
      <c r="R4" s="979"/>
      <c r="S4" s="1962">
        <f>INDEX(PT_DIFFERENTIATION_NUM_CS,MATCH(C4,PT_DIFFERENTIATION_CS_ID,0))</f>
      </c>
      <c r="T4" s="935" t="s">
        <v>417</v>
      </c>
      <c r="U4" s="926"/>
      <c r="V4" s="2869"/>
      <c r="W4" s="2869"/>
      <c r="X4" s="2869"/>
      <c r="Y4" s="2869"/>
      <c r="Z4" s="2869"/>
      <c r="AA4" s="2870"/>
      <c r="AB4" s="2868">
        <f>INDEX(PT_DIFFERENTIATION_CS,MATCH(C4,PT_DIFFERENTIATION_CS_ID,0))</f>
      </c>
      <c r="AC4" s="2869"/>
      <c r="AD4" s="2869"/>
      <c r="AE4" s="2869"/>
      <c r="AF4" s="2869"/>
      <c r="AG4" s="2869"/>
      <c r="AH4" s="2869"/>
      <c r="AI4" s="2869"/>
      <c r="AJ4" s="2869"/>
      <c r="AK4" s="2869"/>
      <c r="AL4" s="2869"/>
      <c r="AM4" s="2869"/>
      <c r="AN4" s="2869"/>
      <c r="AO4" s="2869"/>
      <c r="AP4" s="2869"/>
      <c r="AQ4" s="2869"/>
      <c r="AR4" s="2869"/>
      <c r="AS4" s="2869"/>
      <c r="AT4" s="2870"/>
      <c r="AU4" s="1884" t="s">
        <v>418</v>
      </c>
      <c r="AW4" s="1126"/>
      <c r="AX4" s="1126" t="str">
        <f>IF(T4="","",T4)</f>
        <v>Наименование системы теплоснабжения </v>
      </c>
      <c r="AY4" s="1126"/>
      <c r="AZ4" s="1126"/>
      <c r="BA4" s="1781">
        <v>0</v>
      </c>
    </row>
    <row customHeight="1" ht="21" hidden="1">
      <c r="A5" s="1989"/>
      <c r="B5" s="1989"/>
      <c r="C5" s="1989"/>
      <c r="D5" s="1989"/>
      <c r="E5" s="2885"/>
      <c r="F5" s="2885"/>
      <c r="G5" s="2885"/>
      <c r="H5" s="2884">
        <v>1</v>
      </c>
      <c r="I5" s="1989"/>
      <c r="J5" s="1989"/>
      <c r="K5" s="1989"/>
      <c r="L5" s="1990"/>
      <c r="M5" s="1991"/>
      <c r="N5" s="1991"/>
      <c r="O5" s="1991"/>
      <c r="P5" s="2038"/>
      <c r="Q5" s="2037"/>
      <c r="R5" s="979"/>
      <c r="S5" s="1962">
        <f>INDEX(PT_DIFFERENTIATION_NUM_IST_TE,MATCH(D5,PT_DIFFERENTIATION_IST_TE_ID,0))</f>
      </c>
      <c r="T5" s="936" t="s">
        <v>419</v>
      </c>
      <c r="U5" s="926"/>
      <c r="V5" s="2869"/>
      <c r="W5" s="2869"/>
      <c r="X5" s="2869"/>
      <c r="Y5" s="2869"/>
      <c r="Z5" s="2869"/>
      <c r="AA5" s="2870"/>
      <c r="AB5" s="2868">
        <f>INDEX(PT_DIFFERENTIATION_IST_TE,MATCH(D5,PT_DIFFERENTIATION_IST_TE_ID,0))</f>
      </c>
      <c r="AC5" s="2869"/>
      <c r="AD5" s="2869"/>
      <c r="AE5" s="2869"/>
      <c r="AF5" s="2869"/>
      <c r="AG5" s="2869"/>
      <c r="AH5" s="2869"/>
      <c r="AI5" s="2869"/>
      <c r="AJ5" s="2869"/>
      <c r="AK5" s="2869"/>
      <c r="AL5" s="2869"/>
      <c r="AM5" s="2869"/>
      <c r="AN5" s="2869"/>
      <c r="AO5" s="2869"/>
      <c r="AP5" s="2869"/>
      <c r="AQ5" s="2869"/>
      <c r="AR5" s="2869"/>
      <c r="AS5" s="2869"/>
      <c r="AT5" s="2870"/>
      <c r="AU5" s="1884" t="s">
        <v>420</v>
      </c>
      <c r="AW5" s="1126"/>
      <c r="AX5" s="1126" t="str">
        <f>IF(T5="","",T5)</f>
        <v>Источник тепловой энергии  </v>
      </c>
      <c r="AY5" s="1126"/>
      <c r="AZ5" s="1126"/>
      <c r="BA5" s="1781">
        <v>0</v>
      </c>
    </row>
    <row s="34658" customFormat="1" customHeight="1" ht="0.75" hidden="1">
      <c r="A6" s="1969"/>
      <c r="B6" s="1969"/>
      <c r="C6" s="1969"/>
      <c r="D6" s="1969"/>
      <c r="E6" s="2885"/>
      <c r="F6" s="2885"/>
      <c r="G6" s="2885"/>
      <c r="H6" s="2885"/>
      <c r="I6" s="2882">
        <f>S5&amp;".1"</f>
      </c>
      <c r="J6" s="1969"/>
      <c r="K6" s="1969"/>
      <c r="L6" s="1972" t="s">
        <v>421</v>
      </c>
      <c r="M6" s="1136"/>
      <c r="N6" s="1136"/>
      <c r="O6" s="1136"/>
      <c r="P6" s="2883">
        <v>1</v>
      </c>
      <c r="Q6" s="1957"/>
      <c r="R6" s="982"/>
      <c r="S6" s="1668"/>
      <c r="T6" s="2009"/>
      <c r="U6" s="2010"/>
      <c r="V6" s="2923"/>
      <c r="W6" s="2923"/>
      <c r="X6" s="2923"/>
      <c r="Y6" s="2923"/>
      <c r="Z6" s="2923"/>
      <c r="AA6" s="2924"/>
      <c r="AB6" s="2922"/>
      <c r="AC6" s="2923"/>
      <c r="AD6" s="2923"/>
      <c r="AE6" s="2923"/>
      <c r="AF6" s="2923"/>
      <c r="AG6" s="2923"/>
      <c r="AH6" s="2923"/>
      <c r="AI6" s="2923"/>
      <c r="AJ6" s="2923"/>
      <c r="AK6" s="2923"/>
      <c r="AL6" s="2923"/>
      <c r="AM6" s="2923"/>
      <c r="AN6" s="2923"/>
      <c r="AO6" s="2923"/>
      <c r="AP6" s="2923"/>
      <c r="AQ6" s="2923"/>
      <c r="AR6" s="2923"/>
      <c r="AS6" s="2923"/>
      <c r="AT6" s="2924"/>
      <c r="AU6" s="2011"/>
      <c r="AW6" s="1126"/>
      <c r="AX6" s="1126" t="str">
        <f>IF(T6="","",T6)</f>
        <v/>
      </c>
      <c r="AY6" s="1126"/>
      <c r="AZ6" s="1126"/>
      <c r="BA6" s="1137">
        <v>0</v>
      </c>
    </row>
    <row s="34658" customFormat="1" customHeight="1" ht="0.75" hidden="1">
      <c r="A7" s="1969"/>
      <c r="B7" s="1969"/>
      <c r="C7" s="1969"/>
      <c r="D7" s="1969"/>
      <c r="E7" s="2885"/>
      <c r="F7" s="2885"/>
      <c r="G7" s="2885"/>
      <c r="H7" s="2885"/>
      <c r="I7" s="2912"/>
      <c r="J7" s="2882">
        <f>S5&amp;".1"</f>
      </c>
      <c r="K7" s="1969"/>
      <c r="L7" s="1972"/>
      <c r="M7" s="1136"/>
      <c r="N7" s="1136"/>
      <c r="O7" s="1136"/>
      <c r="P7" s="2883"/>
      <c r="Q7" s="2883">
        <v>1</v>
      </c>
      <c r="R7" s="983"/>
      <c r="S7" s="1668"/>
      <c r="T7" s="2025"/>
      <c r="U7" s="2010"/>
      <c r="V7" s="2923"/>
      <c r="W7" s="2923"/>
      <c r="X7" s="2923"/>
      <c r="Y7" s="2923"/>
      <c r="Z7" s="2923"/>
      <c r="AA7" s="2924"/>
      <c r="AB7" s="2922"/>
      <c r="AC7" s="2923"/>
      <c r="AD7" s="2923"/>
      <c r="AE7" s="2923"/>
      <c r="AF7" s="2923"/>
      <c r="AG7" s="2923"/>
      <c r="AH7" s="2923"/>
      <c r="AI7" s="2923"/>
      <c r="AJ7" s="2923"/>
      <c r="AK7" s="2923"/>
      <c r="AL7" s="2923"/>
      <c r="AM7" s="2923"/>
      <c r="AN7" s="2923"/>
      <c r="AO7" s="2923"/>
      <c r="AP7" s="2923"/>
      <c r="AQ7" s="2923"/>
      <c r="AR7" s="2923"/>
      <c r="AS7" s="2923"/>
      <c r="AT7" s="2924"/>
      <c r="AU7" s="2011"/>
      <c r="AW7" s="1126"/>
      <c r="AX7" s="1126" t="str">
        <f>IF(T7="","",T7)</f>
        <v/>
      </c>
      <c r="AY7" s="1126"/>
      <c r="AZ7" s="1126"/>
      <c r="BA7" s="1137">
        <v>0</v>
      </c>
    </row>
    <row customHeight="1" ht="21" hidden="1">
      <c r="A8" s="1989"/>
      <c r="B8" s="1989"/>
      <c r="C8" s="1989"/>
      <c r="D8" s="1989"/>
      <c r="E8" s="2885"/>
      <c r="F8" s="2885"/>
      <c r="G8" s="2885"/>
      <c r="H8" s="2885"/>
      <c r="I8" s="2912"/>
      <c r="J8" s="2912"/>
      <c r="K8" s="2882">
        <f>S5&amp;".1"</f>
      </c>
      <c r="L8" s="1990"/>
      <c r="P8" s="2883"/>
      <c r="Q8" s="2883"/>
      <c r="R8" s="2973">
        <v>1</v>
      </c>
      <c r="S8" s="2967">
        <f>$K8</f>
      </c>
      <c r="T8" s="2970"/>
      <c r="U8" s="926"/>
      <c r="V8" s="1377"/>
      <c r="W8" s="1883"/>
      <c r="X8" s="2891"/>
      <c r="Y8" s="2733" t="s">
        <v>66</v>
      </c>
      <c r="Z8" s="2891"/>
      <c r="AA8" s="2733" t="s">
        <v>66</v>
      </c>
      <c r="AB8" s="2733" t="s">
        <v>19</v>
      </c>
      <c r="AC8" s="2952"/>
      <c r="AD8" s="2831">
        <v>1</v>
      </c>
      <c r="AE8" s="2953"/>
      <c r="AF8" s="2733" t="s">
        <v>19</v>
      </c>
      <c r="AG8" s="2952"/>
      <c r="AH8" s="2831">
        <v>1</v>
      </c>
      <c r="AI8" s="2953"/>
      <c r="AJ8" s="2733" t="s">
        <v>19</v>
      </c>
      <c r="AK8" s="937"/>
      <c r="AL8" s="1963">
        <v>1</v>
      </c>
      <c r="AM8" s="2024"/>
      <c r="AN8" s="1377"/>
      <c r="AO8" s="1883"/>
      <c r="AP8" s="2360"/>
      <c r="AQ8" s="2085" t="s">
        <v>66</v>
      </c>
      <c r="AR8" s="2360"/>
      <c r="AS8" s="2085" t="s">
        <v>66</v>
      </c>
      <c r="AT8" s="1974"/>
      <c r="AU8" s="2879" t="s">
        <v>482</v>
      </c>
      <c r="AV8" s="1137">
        <f>STRCHECKDATE(V11:AT11)</f>
      </c>
      <c r="AW8" s="1126"/>
      <c r="AX8" s="1126" t="str">
        <f>IF(T8="","",T8)</f>
        <v/>
      </c>
      <c r="AY8" s="1126"/>
      <c r="AZ8" s="1126"/>
      <c r="BA8" s="1781">
        <v>0</v>
      </c>
    </row>
    <row customHeight="1" ht="11.25" hidden="1">
      <c r="A9" s="1989"/>
      <c r="B9" s="1989"/>
      <c r="C9" s="1989"/>
      <c r="D9" s="1989"/>
      <c r="E9" s="2885"/>
      <c r="F9" s="2885"/>
      <c r="G9" s="2885"/>
      <c r="H9" s="2885"/>
      <c r="I9" s="2912"/>
      <c r="J9" s="2912"/>
      <c r="K9" s="2882"/>
      <c r="L9" s="1990"/>
      <c r="P9" s="2883"/>
      <c r="Q9" s="2883"/>
      <c r="R9" s="2973"/>
      <c r="S9" s="2968"/>
      <c r="T9" s="2971"/>
      <c r="U9" s="926"/>
      <c r="V9" s="2019"/>
      <c r="W9" s="2023"/>
      <c r="X9" s="2891"/>
      <c r="Y9" s="2733"/>
      <c r="Z9" s="2891"/>
      <c r="AA9" s="2733"/>
      <c r="AB9" s="2733"/>
      <c r="AC9" s="2952"/>
      <c r="AD9" s="2831"/>
      <c r="AE9" s="2953"/>
      <c r="AF9" s="2733"/>
      <c r="AG9" s="2952"/>
      <c r="AH9" s="2831"/>
      <c r="AI9" s="2953"/>
      <c r="AJ9" s="2733"/>
      <c r="AK9" s="942"/>
      <c r="AL9" s="1042"/>
      <c r="AM9" s="1041" t="s">
        <v>483</v>
      </c>
      <c r="AN9" s="2019"/>
      <c r="AO9" s="2122"/>
      <c r="AP9" s="2019"/>
      <c r="AQ9" s="2019"/>
      <c r="AR9" s="2019"/>
      <c r="AS9" s="2019"/>
      <c r="AT9" s="2016"/>
      <c r="AU9" s="2880"/>
      <c r="AW9" s="1126"/>
      <c r="AX9" s="1126"/>
      <c r="AY9" s="1126"/>
      <c r="AZ9" s="1126"/>
      <c r="BA9" s="1781">
        <v>0</v>
      </c>
    </row>
    <row customHeight="1" ht="11.25" hidden="1">
      <c r="A10" s="1989"/>
      <c r="B10" s="1989"/>
      <c r="C10" s="1989"/>
      <c r="D10" s="1989"/>
      <c r="E10" s="2885"/>
      <c r="F10" s="2885"/>
      <c r="G10" s="2885"/>
      <c r="H10" s="2885"/>
      <c r="I10" s="2912"/>
      <c r="J10" s="2912"/>
      <c r="K10" s="2882"/>
      <c r="L10" s="1990"/>
      <c r="P10" s="2883"/>
      <c r="Q10" s="2883"/>
      <c r="R10" s="2973"/>
      <c r="S10" s="2968"/>
      <c r="T10" s="2971"/>
      <c r="U10" s="926"/>
      <c r="V10" s="2019"/>
      <c r="W10" s="2023"/>
      <c r="X10" s="2891"/>
      <c r="Y10" s="2733"/>
      <c r="Z10" s="2891"/>
      <c r="AA10" s="2733"/>
      <c r="AB10" s="2733"/>
      <c r="AC10" s="2952"/>
      <c r="AD10" s="2831"/>
      <c r="AE10" s="2953"/>
      <c r="AF10" s="2733"/>
      <c r="AG10" s="920"/>
      <c r="AH10" s="1041"/>
      <c r="AI10" s="1041" t="s">
        <v>484</v>
      </c>
      <c r="AJ10" s="2019"/>
      <c r="AK10" s="2019"/>
      <c r="AL10" s="2019"/>
      <c r="AM10" s="2019"/>
      <c r="AN10" s="2019"/>
      <c r="AO10" s="2122"/>
      <c r="AP10" s="2019"/>
      <c r="AQ10" s="2019"/>
      <c r="AR10" s="2019"/>
      <c r="AS10" s="2019"/>
      <c r="AT10" s="2016"/>
      <c r="AU10" s="2880"/>
      <c r="AW10" s="1126"/>
      <c r="AX10" s="1126"/>
      <c r="AY10" s="1126"/>
      <c r="AZ10" s="1126"/>
      <c r="BA10" s="1781">
        <v>0</v>
      </c>
    </row>
    <row customHeight="1" ht="11.25" hidden="1">
      <c r="A11" s="1989"/>
      <c r="B11" s="1989"/>
      <c r="C11" s="1989"/>
      <c r="D11" s="1989"/>
      <c r="E11" s="2885"/>
      <c r="F11" s="2885"/>
      <c r="G11" s="2885"/>
      <c r="H11" s="2885"/>
      <c r="I11" s="2912"/>
      <c r="J11" s="2912"/>
      <c r="K11" s="2882"/>
      <c r="L11" s="1990"/>
      <c r="P11" s="2883"/>
      <c r="Q11" s="2883"/>
      <c r="R11" s="2973"/>
      <c r="S11" s="2969"/>
      <c r="T11" s="2972"/>
      <c r="U11" s="926"/>
      <c r="V11" s="2019"/>
      <c r="W11" s="2022" t="str">
        <f>X8&amp;"-"&amp;Z8</f>
        <v>-</v>
      </c>
      <c r="X11" s="2892"/>
      <c r="Y11" s="2733"/>
      <c r="Z11" s="2892"/>
      <c r="AA11" s="2733"/>
      <c r="AB11" s="2733"/>
      <c r="AC11" s="938"/>
      <c r="AD11" s="940"/>
      <c r="AE11" s="1041" t="s">
        <v>485</v>
      </c>
      <c r="AF11" s="2019"/>
      <c r="AG11" s="2019"/>
      <c r="AH11" s="2019"/>
      <c r="AI11" s="2019"/>
      <c r="AJ11" s="2019"/>
      <c r="AK11" s="2019"/>
      <c r="AL11" s="2019"/>
      <c r="AM11" s="2019"/>
      <c r="AN11" s="2019"/>
      <c r="AO11" s="2020" t="str">
        <f>AP8&amp;"-"&amp;AR8</f>
        <v>-</v>
      </c>
      <c r="AP11" s="2019"/>
      <c r="AQ11" s="2019"/>
      <c r="AR11" s="2019"/>
      <c r="AS11" s="2019"/>
      <c r="AT11" s="1975"/>
      <c r="AU11" s="2880"/>
      <c r="AW11" s="1126"/>
      <c r="AX11" s="1126" t="str">
        <f>IF(T11="","",T11)</f>
        <v/>
      </c>
      <c r="AY11" s="1126"/>
      <c r="AZ11" s="1126"/>
      <c r="BA11" s="1781">
        <v>0</v>
      </c>
    </row>
    <row customHeight="1" ht="11.25" hidden="1">
      <c r="A12" s="1989"/>
      <c r="B12" s="1989"/>
      <c r="C12" s="1989"/>
      <c r="D12" s="1989"/>
      <c r="E12" s="2885"/>
      <c r="F12" s="2885"/>
      <c r="G12" s="2885"/>
      <c r="H12" s="2885"/>
      <c r="I12" s="2912"/>
      <c r="J12" s="2882"/>
      <c r="K12" s="1989"/>
      <c r="L12" s="1990"/>
      <c r="P12" s="2883"/>
      <c r="Q12" s="2883"/>
      <c r="R12" s="982"/>
      <c r="S12" s="1904"/>
      <c r="T12" s="913" t="s">
        <v>486</v>
      </c>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50"/>
      <c r="AU12" s="2881"/>
      <c r="AW12" s="1126"/>
      <c r="AX12" s="1126" t="str">
        <f>IF(T12="","",T12)</f>
        <v>Добавить строку</v>
      </c>
      <c r="AY12" s="1126"/>
      <c r="AZ12" s="1126"/>
      <c r="BA12" s="1781">
        <v>0</v>
      </c>
    </row>
    <row s="34658" customFormat="1" customHeight="1" ht="0.75" hidden="1">
      <c r="A13" s="1969"/>
      <c r="B13" s="1969"/>
      <c r="C13" s="1969"/>
      <c r="D13" s="1969"/>
      <c r="E13" s="2885"/>
      <c r="F13" s="2885"/>
      <c r="G13" s="2885"/>
      <c r="H13" s="2885"/>
      <c r="I13" s="2882"/>
      <c r="J13" s="1969"/>
      <c r="K13" s="1969"/>
      <c r="L13" s="1972"/>
      <c r="M13" s="1136"/>
      <c r="N13" s="1136"/>
      <c r="O13" s="1136"/>
      <c r="P13" s="2883"/>
      <c r="Q13" s="1957"/>
      <c r="R13" s="982"/>
      <c r="S13" s="2012"/>
      <c r="T13" s="2013"/>
      <c r="U13" s="2014"/>
      <c r="V13" s="2014"/>
      <c r="W13" s="2014"/>
      <c r="X13" s="2014"/>
      <c r="Y13" s="2014"/>
      <c r="Z13" s="2014"/>
      <c r="AA13" s="2014"/>
      <c r="AB13" s="2014"/>
      <c r="AC13" s="2014"/>
      <c r="AD13" s="2014"/>
      <c r="AE13" s="2014"/>
      <c r="AF13" s="2014"/>
      <c r="AG13" s="2014"/>
      <c r="AH13" s="2014"/>
      <c r="AI13" s="2014"/>
      <c r="AJ13" s="2014"/>
      <c r="AK13" s="2014"/>
      <c r="AL13" s="2014"/>
      <c r="AM13" s="2014"/>
      <c r="AN13" s="2014"/>
      <c r="AO13" s="2014"/>
      <c r="AP13" s="2014"/>
      <c r="AQ13" s="2014"/>
      <c r="AR13" s="2014"/>
      <c r="AS13" s="2014"/>
      <c r="AT13" s="2014"/>
      <c r="AU13" s="2015"/>
      <c r="AW13" s="1126"/>
      <c r="AX13" s="1126" t="str">
        <f>IF(T13="","",T13)</f>
        <v/>
      </c>
      <c r="AY13" s="1126"/>
      <c r="AZ13" s="1126"/>
      <c r="BA13" s="1137">
        <v>0</v>
      </c>
    </row>
    <row s="34658" customFormat="1" customHeight="1" ht="0.75" hidden="1">
      <c r="A14" s="1969"/>
      <c r="B14" s="1969"/>
      <c r="C14" s="1969"/>
      <c r="D14" s="1969"/>
      <c r="E14" s="2885"/>
      <c r="F14" s="2885"/>
      <c r="G14" s="2885"/>
      <c r="H14" s="2884"/>
      <c r="I14" s="1969"/>
      <c r="J14" s="1969"/>
      <c r="K14" s="1969"/>
      <c r="L14" s="1972"/>
      <c r="M14" s="1941"/>
      <c r="N14" s="1941"/>
      <c r="O14" s="1144"/>
      <c r="P14" s="1006"/>
      <c r="Q14" s="1970"/>
      <c r="R14" s="2027"/>
      <c r="S14" s="2012"/>
      <c r="T14" s="2013"/>
      <c r="U14" s="2014"/>
      <c r="V14" s="2014"/>
      <c r="W14" s="2014"/>
      <c r="X14" s="2014"/>
      <c r="Y14" s="2014"/>
      <c r="Z14" s="2014"/>
      <c r="AA14" s="2014"/>
      <c r="AB14" s="2014"/>
      <c r="AC14" s="2014"/>
      <c r="AD14" s="2014"/>
      <c r="AE14" s="2014"/>
      <c r="AF14" s="2014"/>
      <c r="AG14" s="2014"/>
      <c r="AH14" s="2014"/>
      <c r="AI14" s="2014"/>
      <c r="AJ14" s="2014"/>
      <c r="AK14" s="2014"/>
      <c r="AL14" s="2014"/>
      <c r="AM14" s="2014"/>
      <c r="AN14" s="2014"/>
      <c r="AO14" s="2014"/>
      <c r="AP14" s="2014"/>
      <c r="AQ14" s="2014"/>
      <c r="AR14" s="2014"/>
      <c r="AS14" s="2014"/>
      <c r="AT14" s="2014"/>
      <c r="AU14" s="2015"/>
      <c r="AW14" s="1126"/>
      <c r="AX14" s="1126" t="str">
        <f>IF(T14="","",T14)</f>
        <v/>
      </c>
      <c r="AY14" s="1126"/>
      <c r="AZ14" s="1126"/>
      <c r="BA14" s="1137">
        <v>0</v>
      </c>
    </row>
    <row s="34658" customFormat="1" customHeight="1" ht="0.75" hidden="1">
      <c r="A15" s="1969"/>
      <c r="B15" s="1969"/>
      <c r="C15" s="1969"/>
      <c r="D15" s="1940"/>
      <c r="E15" s="2885"/>
      <c r="F15" s="2885"/>
      <c r="G15" s="2884"/>
      <c r="H15" s="1940"/>
      <c r="I15" s="1940"/>
      <c r="J15" s="1940"/>
      <c r="K15" s="1940"/>
      <c r="L15" s="1965"/>
      <c r="M15" s="1941"/>
      <c r="N15" s="1941"/>
      <c r="P15" s="1942"/>
      <c r="Q15" s="1943"/>
      <c r="R15" s="1942"/>
      <c r="S15" s="1948"/>
      <c r="T15" s="1951" t="s">
        <v>432</v>
      </c>
      <c r="U15" s="1950"/>
      <c r="V15" s="1950"/>
      <c r="W15" s="1950"/>
      <c r="X15" s="1950"/>
      <c r="Y15" s="1950"/>
      <c r="Z15" s="1950"/>
      <c r="AA15" s="1950"/>
      <c r="AB15" s="1950"/>
      <c r="AC15" s="1950"/>
      <c r="AD15" s="1950"/>
      <c r="AE15" s="1950"/>
      <c r="AF15" s="1950"/>
      <c r="AG15" s="1950"/>
      <c r="AH15" s="1950"/>
      <c r="AI15" s="1950"/>
      <c r="AJ15" s="1950"/>
      <c r="AK15" s="1950"/>
      <c r="AL15" s="1950"/>
      <c r="AM15" s="1950"/>
      <c r="AN15" s="1950"/>
      <c r="AO15" s="1950"/>
      <c r="AP15" s="1950"/>
      <c r="AQ15" s="1950"/>
      <c r="AR15" s="1950"/>
      <c r="AS15" s="1950"/>
      <c r="AT15" s="1950"/>
      <c r="AU15" s="1950"/>
      <c r="AW15" s="1415"/>
      <c r="AX15" s="1415" t="str">
        <f>IF(T15="","",T15)</f>
        <v>Добавить источник для дифференциации</v>
      </c>
      <c r="AY15" s="1415"/>
      <c r="AZ15" s="1415"/>
      <c r="BA15" s="1144">
        <v>0</v>
      </c>
    </row>
    <row s="34658" customFormat="1" customHeight="1" ht="0.75" hidden="1">
      <c r="A16" s="1969"/>
      <c r="B16" s="1969"/>
      <c r="C16" s="1940"/>
      <c r="D16" s="1940"/>
      <c r="E16" s="2885"/>
      <c r="F16" s="2884"/>
      <c r="G16" s="1940"/>
      <c r="H16" s="1940"/>
      <c r="I16" s="1940"/>
      <c r="J16" s="1940"/>
      <c r="K16" s="1940"/>
      <c r="L16" s="1965"/>
      <c r="M16" s="1947"/>
      <c r="N16" s="1947"/>
      <c r="P16" s="1942"/>
      <c r="Q16" s="1943"/>
      <c r="R16" s="1942"/>
      <c r="S16" s="1948"/>
      <c r="T16" s="1951" t="s">
        <v>433</v>
      </c>
      <c r="U16" s="1950"/>
      <c r="V16" s="1950"/>
      <c r="W16" s="1950"/>
      <c r="X16" s="1950"/>
      <c r="Y16" s="1950"/>
      <c r="Z16" s="1950"/>
      <c r="AA16" s="1950"/>
      <c r="AB16" s="1950"/>
      <c r="AC16" s="1950"/>
      <c r="AD16" s="1950"/>
      <c r="AE16" s="1950"/>
      <c r="AF16" s="1950"/>
      <c r="AG16" s="1950"/>
      <c r="AH16" s="1950"/>
      <c r="AI16" s="1950"/>
      <c r="AJ16" s="1950"/>
      <c r="AK16" s="1950"/>
      <c r="AL16" s="1950"/>
      <c r="AM16" s="1950"/>
      <c r="AN16" s="1950"/>
      <c r="AO16" s="1950"/>
      <c r="AP16" s="1950"/>
      <c r="AQ16" s="1950"/>
      <c r="AR16" s="1950"/>
      <c r="AS16" s="1950"/>
      <c r="AT16" s="1950"/>
      <c r="AU16" s="1950"/>
      <c r="AW16" s="1415"/>
      <c r="AX16" s="1415" t="str">
        <f>IF(T16="","",T16)</f>
        <v>Добавить централизованную систему для дифференциации</v>
      </c>
      <c r="AY16" s="1415"/>
      <c r="AZ16" s="1415"/>
      <c r="BA16" s="1144">
        <v>0</v>
      </c>
    </row>
    <row s="34658" customFormat="1" customHeight="1" ht="0.75" hidden="1">
      <c r="A17" s="1969"/>
      <c r="B17" s="1969"/>
      <c r="C17" s="1969"/>
      <c r="D17" s="1969"/>
      <c r="E17" s="2884"/>
      <c r="F17" s="1969"/>
      <c r="G17" s="1969"/>
      <c r="H17" s="1969"/>
      <c r="I17" s="1969"/>
      <c r="J17" s="1969"/>
      <c r="K17" s="1969"/>
      <c r="L17" s="1972"/>
      <c r="M17" s="1947"/>
      <c r="N17" s="1947"/>
      <c r="O17" s="1144"/>
      <c r="P17" s="1006"/>
      <c r="Q17" s="1970"/>
      <c r="R17" s="1006"/>
      <c r="S17" s="1948"/>
      <c r="T17" s="1951" t="s">
        <v>434</v>
      </c>
      <c r="U17" s="1950"/>
      <c r="V17" s="1950"/>
      <c r="W17" s="1950"/>
      <c r="X17" s="1950"/>
      <c r="Y17" s="1950"/>
      <c r="Z17" s="1950"/>
      <c r="AA17" s="1950"/>
      <c r="AB17" s="1950"/>
      <c r="AC17" s="1950"/>
      <c r="AD17" s="1950"/>
      <c r="AE17" s="1950"/>
      <c r="AF17" s="1950"/>
      <c r="AG17" s="1950"/>
      <c r="AH17" s="1950"/>
      <c r="AI17" s="1950"/>
      <c r="AJ17" s="1950"/>
      <c r="AK17" s="1950"/>
      <c r="AL17" s="1950"/>
      <c r="AM17" s="1950"/>
      <c r="AN17" s="1950"/>
      <c r="AO17" s="1950"/>
      <c r="AP17" s="1950"/>
      <c r="AQ17" s="1950"/>
      <c r="AR17" s="1950"/>
      <c r="AS17" s="1950"/>
      <c r="AT17" s="1950"/>
      <c r="AU17" s="1950"/>
      <c r="AW17" s="1126"/>
      <c r="AX17" s="1126" t="str">
        <f>IF(T17="","",T17)</f>
        <v>Добавить территорию для дифференциации</v>
      </c>
      <c r="AY17" s="1126"/>
      <c r="AZ17" s="1126"/>
      <c r="BA17" s="1137">
        <v>0</v>
      </c>
    </row>
    <row customHeight="1" ht="14.25" hidden="1">
      <c r="AA18" s="953"/>
      <c r="AS18" s="953"/>
      <c r="BA18" s="1781">
        <v>0</v>
      </c>
    </row>
    <row customHeight="1" ht="14.25" hidden="1">
      <c r="AB19" s="1950" t="s">
        <v>19</v>
      </c>
      <c r="AC19" s="2127"/>
      <c r="AD19" s="1174">
        <v>1</v>
      </c>
      <c r="AE19" s="2128"/>
      <c r="AF19" s="1950" t="s">
        <v>19</v>
      </c>
      <c r="AG19" s="2127"/>
      <c r="AH19" s="1174">
        <v>1</v>
      </c>
      <c r="AI19" s="2128"/>
      <c r="AJ19" s="1950" t="s">
        <v>19</v>
      </c>
      <c r="AK19" s="2129"/>
      <c r="AL19" s="1174">
        <v>1</v>
      </c>
      <c r="AM19" s="2132"/>
      <c r="AN19" s="2029"/>
      <c r="AO19" s="2030"/>
      <c r="AP19" s="2362"/>
      <c r="AQ19" s="2086" t="s">
        <v>66</v>
      </c>
      <c r="AR19" s="2362"/>
      <c r="AS19" s="2086" t="s">
        <v>66</v>
      </c>
      <c r="BA19" s="1781">
        <v>0</v>
      </c>
    </row>
    <row customHeight="1" ht="14.25" hidden="1">
      <c r="AV20" s="1122"/>
      <c r="AW20" s="1122"/>
      <c r="AX20" s="1122"/>
      <c r="AY20" s="1122"/>
      <c r="AZ20" s="1122"/>
      <c r="BA20" s="1781">
        <v>0</v>
      </c>
    </row>
    <row customHeight="1" ht="14.25" hidden="1">
      <c r="O21" s="1993" t="s">
        <v>435</v>
      </c>
      <c r="X21" s="1971"/>
      <c r="Z21" s="1971"/>
      <c r="AA21" s="953"/>
      <c r="AP21" s="1971"/>
      <c r="AR21" s="1971"/>
      <c r="AS21" s="953"/>
      <c r="AV21" s="1122"/>
      <c r="AW21" s="1122"/>
      <c r="AX21" s="1122"/>
      <c r="AY21" s="1122"/>
      <c r="AZ21" s="1122"/>
      <c r="BA21" s="1781">
        <v>0</v>
      </c>
    </row>
    <row customHeight="1" ht="14.25" hidden="1">
      <c r="AA22" s="953"/>
      <c r="AS22" s="953"/>
      <c r="AV22" s="1122"/>
      <c r="AW22" s="1122"/>
      <c r="AX22" s="1122"/>
      <c r="AY22" s="1122"/>
      <c r="AZ22" s="1122"/>
      <c r="BA22" s="1781">
        <v>0</v>
      </c>
    </row>
    <row s="35596" customFormat="1" customHeight="1" ht="14.25" hidden="1">
      <c r="M23" s="2134"/>
      <c r="N23" s="2134"/>
      <c r="O23" s="2135" t="s">
        <v>436</v>
      </c>
      <c r="P23" s="2134"/>
      <c r="Q23" s="2136"/>
      <c r="R23" s="2136"/>
      <c r="Y23" s="2133" t="s">
        <v>438</v>
      </c>
      <c r="AA23" s="2133" t="s">
        <v>439</v>
      </c>
      <c r="AB23" s="2133" t="s">
        <v>487</v>
      </c>
      <c r="AE23" s="2133" t="s">
        <v>488</v>
      </c>
      <c r="AF23" s="2133" t="s">
        <v>487</v>
      </c>
      <c r="AI23" s="2133" t="s">
        <v>489</v>
      </c>
      <c r="AJ23" s="2133" t="s">
        <v>487</v>
      </c>
      <c r="AM23" s="2133" t="s">
        <v>490</v>
      </c>
      <c r="AQ23" s="2133" t="s">
        <v>438</v>
      </c>
      <c r="AS23" s="2133" t="s">
        <v>439</v>
      </c>
      <c r="AV23" s="2137"/>
      <c r="AW23" s="2137"/>
      <c r="AX23" s="2137"/>
      <c r="AY23" s="2137"/>
      <c r="AZ23" s="2137"/>
      <c r="BA23" s="2133">
        <v>0</v>
      </c>
    </row>
    <row customHeight="1" ht="14.25" hidden="1">
      <c r="O24" s="1990"/>
      <c r="AV24" s="1122"/>
      <c r="AW24" s="1122"/>
      <c r="AX24" s="1122"/>
      <c r="AY24" s="1122"/>
      <c r="AZ24" s="1122"/>
      <c r="BA24" s="1781">
        <v>0</v>
      </c>
    </row>
    <row customHeight="1" ht="14.25" hidden="1">
      <c r="O25" s="1990"/>
      <c r="AV25" s="1122"/>
      <c r="AW25" s="1122"/>
      <c r="AX25" s="1122"/>
      <c r="AY25" s="1122"/>
      <c r="AZ25" s="1122"/>
      <c r="BA25" s="1781">
        <v>0</v>
      </c>
    </row>
    <row customHeight="1" ht="14.699999999999998">
      <c r="Q26" s="917"/>
      <c r="R26" s="1002"/>
      <c r="S26" s="1901"/>
      <c r="T26" s="989"/>
      <c r="U26" s="989"/>
      <c r="V26" s="1135"/>
      <c r="W26" s="1135"/>
      <c r="X26" s="1135"/>
      <c r="Y26" s="1135"/>
      <c r="Z26" s="1135"/>
      <c r="AA26" s="1135"/>
      <c r="AB26" s="1135"/>
      <c r="AC26" s="1135"/>
      <c r="AD26" s="1135"/>
      <c r="AE26" s="1135"/>
      <c r="AF26" s="1135"/>
      <c r="AG26" s="1135"/>
      <c r="AH26" s="1135"/>
      <c r="AI26" s="1135"/>
      <c r="AJ26" s="1135"/>
      <c r="AK26" s="1135"/>
      <c r="AL26" s="1135"/>
      <c r="AM26" s="1135"/>
      <c r="AN26" s="1135"/>
      <c r="AO26" s="1135"/>
      <c r="AP26" s="1135"/>
      <c r="AQ26" s="1135"/>
      <c r="AR26" s="1135"/>
      <c r="AS26" s="1135"/>
      <c r="BA26" s="1781">
        <v>14</v>
      </c>
    </row>
    <row customHeight="1" ht="27.299999999999997">
      <c r="Q27" s="917"/>
      <c r="R27" s="1002"/>
      <c r="S27" s="28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1869"/>
      <c r="BA27" s="1781">
        <v>26</v>
      </c>
    </row>
    <row customHeight="1" ht="14.699999999999998">
      <c r="Q28" s="917"/>
      <c r="R28" s="1002"/>
      <c r="S28" s="2875" t="str">
        <f>IF(org=0,"Не определено",org)</f>
        <v>АО "ДГК"</v>
      </c>
      <c r="T28" s="2875"/>
      <c r="U28" s="2875"/>
      <c r="V28" s="2875"/>
      <c r="W28" s="2875"/>
      <c r="X28" s="2875"/>
      <c r="Y28" s="2875"/>
      <c r="Z28" s="2875"/>
      <c r="AA28" s="2875"/>
      <c r="AB28" s="2875"/>
      <c r="AC28" s="2875"/>
      <c r="AD28" s="2875"/>
      <c r="AE28" s="2875"/>
      <c r="AF28" s="2875"/>
      <c r="AG28" s="2875"/>
      <c r="AH28" s="2875"/>
      <c r="AI28" s="2875"/>
      <c r="AJ28" s="2875"/>
      <c r="AK28" s="2875"/>
      <c r="AL28" s="2875"/>
      <c r="AM28" s="2875"/>
      <c r="AN28" s="2875"/>
      <c r="AO28" s="2875"/>
      <c r="AP28" s="2875"/>
      <c r="AQ28" s="2875"/>
      <c r="AR28" s="2875"/>
      <c r="AS28" s="1869"/>
      <c r="BA28" s="1781">
        <v>14</v>
      </c>
    </row>
    <row customHeight="1" ht="14.25" hidden="1">
      <c r="Q29" s="917"/>
      <c r="R29" s="1002"/>
      <c r="S29" s="1901"/>
      <c r="T29" s="989"/>
      <c r="U29" s="989"/>
      <c r="V29" s="948"/>
      <c r="W29" s="948"/>
      <c r="X29" s="948"/>
      <c r="Y29" s="948"/>
      <c r="Z29" s="948"/>
      <c r="AA29" s="948"/>
      <c r="AB29" s="948"/>
      <c r="AC29" s="948"/>
      <c r="AD29" s="948"/>
      <c r="AE29" s="948"/>
      <c r="AF29" s="948"/>
      <c r="AG29" s="948"/>
      <c r="AH29" s="948"/>
      <c r="AI29" s="948"/>
      <c r="AJ29" s="948"/>
      <c r="AK29" s="948"/>
      <c r="AL29" s="948"/>
      <c r="AM29" s="948"/>
      <c r="AN29" s="948"/>
      <c r="AO29" s="948"/>
      <c r="AP29" s="948"/>
      <c r="AQ29" s="948"/>
      <c r="AR29" s="948"/>
      <c r="AS29" s="948"/>
      <c r="AT29" s="1135"/>
      <c r="BA29" s="1781">
        <v>0</v>
      </c>
    </row>
    <row s="34794" customFormat="1" customHeight="1" ht="25.5" hidden="1">
      <c r="A30" s="1994"/>
      <c r="B30" s="1994"/>
      <c r="C30" s="1994"/>
      <c r="D30" s="1994"/>
      <c r="E30" s="1994"/>
      <c r="F30" s="1994"/>
      <c r="G30" s="1994"/>
      <c r="H30" s="1994"/>
      <c r="I30" s="1994"/>
      <c r="J30" s="1994"/>
      <c r="K30" s="1994"/>
      <c r="L30" s="1995"/>
      <c r="M30" s="1994"/>
      <c r="N30" s="1994"/>
      <c r="O30" s="1994"/>
      <c r="P30" s="1994"/>
      <c r="Q30" s="1994"/>
      <c r="S30" s="2876" t="s">
        <v>42</v>
      </c>
      <c r="T30" s="2876"/>
      <c r="U30" s="1998"/>
      <c r="V30" s="2877" t="str">
        <f>IF(TITLE_NAME_OR_PR_CHANGE="",IF(TITLE_NAME_OR_PR="","",TITLE_NAME_OR_PR),TITLE_NAME_OR_PR_CHANGE)</f>
        <v/>
      </c>
      <c r="W30" s="2877"/>
      <c r="X30" s="2877"/>
      <c r="Y30" s="2877"/>
      <c r="Z30" s="2877"/>
      <c r="AA30" s="952"/>
      <c r="AB30" s="2877" t="str">
        <f>IF(TITLE_NAME_OR_PR_CHANGE="",IF(TITLE_NAME_OR_PR="","",TITLE_NAME_OR_PR),TITLE_NAME_OR_PR_CHANGE)</f>
        <v/>
      </c>
      <c r="AC30" s="2877"/>
      <c r="AD30" s="2877"/>
      <c r="AE30" s="2877"/>
      <c r="AF30" s="2877"/>
      <c r="AG30" s="2877"/>
      <c r="AH30" s="2877"/>
      <c r="AI30" s="2877"/>
      <c r="AJ30" s="2877"/>
      <c r="AK30" s="2877"/>
      <c r="AL30" s="2877"/>
      <c r="AM30" s="2877"/>
      <c r="AN30" s="2877"/>
      <c r="AO30" s="2877"/>
      <c r="AP30" s="2877"/>
      <c r="AQ30" s="2877"/>
      <c r="AR30" s="2877"/>
      <c r="AS30" s="952"/>
      <c r="AT30" s="952"/>
      <c r="AU30" s="906"/>
      <c r="AV30" s="994"/>
      <c r="AW30" s="994"/>
      <c r="AX30" s="994"/>
      <c r="AY30" s="994"/>
      <c r="AZ30" s="994"/>
      <c r="BA30" s="1044">
        <v>0</v>
      </c>
    </row>
    <row s="34794" customFormat="1" customHeight="1" ht="18.75" hidden="1">
      <c r="A31" s="1994"/>
      <c r="B31" s="1994"/>
      <c r="C31" s="1994"/>
      <c r="D31" s="1994"/>
      <c r="E31" s="1994"/>
      <c r="F31" s="1994"/>
      <c r="G31" s="1994"/>
      <c r="H31" s="1994"/>
      <c r="I31" s="1994"/>
      <c r="J31" s="1994"/>
      <c r="K31" s="1994"/>
      <c r="L31" s="1995"/>
      <c r="M31" s="1994"/>
      <c r="N31" s="1994"/>
      <c r="O31" s="1994"/>
      <c r="P31" s="1994"/>
      <c r="Q31" s="1994"/>
      <c r="S31" s="2876" t="s">
        <v>441</v>
      </c>
      <c r="T31" s="2876"/>
      <c r="U31" s="1998"/>
      <c r="V31" s="2890" t="str">
        <f>IF(TITLE_DATE_PR_CHANGE="",IF(TITLE_DATE_PR="","",TITLE_DATE_PR),TITLE_DATE_PR_CHANGE)</f>
        <v/>
      </c>
      <c r="W31" s="2890"/>
      <c r="X31" s="2890"/>
      <c r="Y31" s="2890"/>
      <c r="Z31" s="2890"/>
      <c r="AA31" s="952"/>
      <c r="AB31" s="2890" t="str">
        <f>IF(TITLE_DATE_PR_CHANGE="",IF(TITLE_DATE_PR="","",TITLE_DATE_PR),TITLE_DATE_PR_CHANGE)</f>
        <v/>
      </c>
      <c r="AC31" s="2890"/>
      <c r="AD31" s="2890"/>
      <c r="AE31" s="2890"/>
      <c r="AF31" s="2890"/>
      <c r="AG31" s="2890"/>
      <c r="AH31" s="2890"/>
      <c r="AI31" s="2890"/>
      <c r="AJ31" s="2890"/>
      <c r="AK31" s="2890"/>
      <c r="AL31" s="2890"/>
      <c r="AM31" s="2890"/>
      <c r="AN31" s="2890"/>
      <c r="AO31" s="2890"/>
      <c r="AP31" s="2890"/>
      <c r="AQ31" s="2890"/>
      <c r="AR31" s="2890"/>
      <c r="AS31" s="952"/>
      <c r="AT31" s="952"/>
      <c r="AU31" s="906"/>
      <c r="AV31" s="994"/>
      <c r="AW31" s="994"/>
      <c r="AX31" s="994"/>
      <c r="AY31" s="994"/>
      <c r="AZ31" s="994"/>
      <c r="BA31" s="1044">
        <v>0</v>
      </c>
    </row>
    <row s="34794" customFormat="1" customHeight="1" ht="18.75" hidden="1">
      <c r="A32" s="1994"/>
      <c r="B32" s="1994"/>
      <c r="C32" s="1994"/>
      <c r="D32" s="1994"/>
      <c r="E32" s="1994"/>
      <c r="F32" s="1994"/>
      <c r="G32" s="1994"/>
      <c r="H32" s="1994"/>
      <c r="I32" s="1994"/>
      <c r="J32" s="1994"/>
      <c r="K32" s="1994"/>
      <c r="L32" s="1995"/>
      <c r="M32" s="1994"/>
      <c r="N32" s="1994"/>
      <c r="O32" s="1994"/>
      <c r="P32" s="1994"/>
      <c r="Q32" s="1994"/>
      <c r="S32" s="2876" t="s">
        <v>442</v>
      </c>
      <c r="T32" s="2876"/>
      <c r="U32" s="1998"/>
      <c r="V32" s="2877" t="str">
        <f>IF(TITLE_NUMBER_PR_CHANGE="",IF(TITLE_NUMBER_PR="","",TITLE_NUMBER_PR),TITLE_NUMBER_PR_CHANGE)</f>
        <v/>
      </c>
      <c r="W32" s="2877"/>
      <c r="X32" s="2877"/>
      <c r="Y32" s="2877"/>
      <c r="Z32" s="2877"/>
      <c r="AA32" s="952"/>
      <c r="AB32" s="2877" t="str">
        <f>IF(TITLE_NUMBER_PR_CHANGE="",IF(TITLE_NUMBER_PR="","",TITLE_NUMBER_PR),TITLE_NUMBER_PR_CHANGE)</f>
        <v/>
      </c>
      <c r="AC32" s="2877"/>
      <c r="AD32" s="2877"/>
      <c r="AE32" s="2877"/>
      <c r="AF32" s="2877"/>
      <c r="AG32" s="2877"/>
      <c r="AH32" s="2877"/>
      <c r="AI32" s="2877"/>
      <c r="AJ32" s="2877"/>
      <c r="AK32" s="2877"/>
      <c r="AL32" s="2877"/>
      <c r="AM32" s="2877"/>
      <c r="AN32" s="2877"/>
      <c r="AO32" s="2877"/>
      <c r="AP32" s="2877"/>
      <c r="AQ32" s="2877"/>
      <c r="AR32" s="2877"/>
      <c r="AS32" s="952"/>
      <c r="AT32" s="952"/>
      <c r="AU32" s="906"/>
      <c r="AV32" s="994"/>
      <c r="AW32" s="994"/>
      <c r="AX32" s="994"/>
      <c r="AY32" s="994"/>
      <c r="AZ32" s="994"/>
      <c r="BA32" s="1044">
        <v>0</v>
      </c>
    </row>
    <row s="34794" customFormat="1" customHeight="1" ht="18.75" hidden="1">
      <c r="A33" s="1994"/>
      <c r="B33" s="1994"/>
      <c r="C33" s="1994"/>
      <c r="D33" s="1994"/>
      <c r="E33" s="1994"/>
      <c r="F33" s="1994"/>
      <c r="G33" s="1994"/>
      <c r="H33" s="1994"/>
      <c r="I33" s="1994"/>
      <c r="J33" s="1994"/>
      <c r="K33" s="1994"/>
      <c r="L33" s="1995"/>
      <c r="M33" s="1994"/>
      <c r="N33" s="1994"/>
      <c r="O33" s="1994"/>
      <c r="P33" s="1994"/>
      <c r="Q33" s="1994"/>
      <c r="S33" s="2876" t="s">
        <v>43</v>
      </c>
      <c r="T33" s="2876"/>
      <c r="U33" s="1998"/>
      <c r="V33" s="2877" t="str">
        <f>IF(TITLE_IST_PUB_CHANGE="",IF(TITLE_IST_PUB="","",TITLE_IST_PUB),TITLE_IST_PUB_CHANGE)</f>
        <v/>
      </c>
      <c r="W33" s="2877"/>
      <c r="X33" s="2877"/>
      <c r="Y33" s="2877"/>
      <c r="Z33" s="2877"/>
      <c r="AA33" s="952"/>
      <c r="AB33" s="2877" t="str">
        <f>IF(TITLE_IST_PUB_CHANGE="",IF(TITLE_IST_PUB="","",TITLE_IST_PUB),TITLE_IST_PUB_CHANGE)</f>
        <v/>
      </c>
      <c r="AC33" s="2877"/>
      <c r="AD33" s="2877"/>
      <c r="AE33" s="2877"/>
      <c r="AF33" s="2877"/>
      <c r="AG33" s="2877"/>
      <c r="AH33" s="2877"/>
      <c r="AI33" s="2877"/>
      <c r="AJ33" s="2877"/>
      <c r="AK33" s="2877"/>
      <c r="AL33" s="2877"/>
      <c r="AM33" s="2877"/>
      <c r="AN33" s="2877"/>
      <c r="AO33" s="2877"/>
      <c r="AP33" s="2877"/>
      <c r="AQ33" s="2877"/>
      <c r="AR33" s="2877"/>
      <c r="AS33" s="952"/>
      <c r="AT33" s="952"/>
      <c r="AU33" s="906"/>
      <c r="AV33" s="994"/>
      <c r="AW33" s="994"/>
      <c r="AX33" s="994"/>
      <c r="AY33" s="994"/>
      <c r="AZ33" s="994"/>
      <c r="BA33" s="1044">
        <v>0</v>
      </c>
    </row>
    <row customHeight="1" ht="14.25" hidden="1">
      <c r="Q34" s="917"/>
      <c r="R34" s="1002"/>
      <c r="S34" s="1901"/>
      <c r="T34" s="989"/>
      <c r="U34" s="989"/>
      <c r="V34" s="948"/>
      <c r="W34" s="948"/>
      <c r="X34" s="948"/>
      <c r="Y34" s="948"/>
      <c r="Z34" s="948"/>
      <c r="AA34" s="948"/>
      <c r="AB34" s="948"/>
      <c r="AC34" s="948"/>
      <c r="AD34" s="948"/>
      <c r="AE34" s="948"/>
      <c r="AF34" s="948"/>
      <c r="AG34" s="948"/>
      <c r="AH34" s="948"/>
      <c r="AI34" s="948"/>
      <c r="AJ34" s="948"/>
      <c r="AK34" s="948"/>
      <c r="AL34" s="948"/>
      <c r="AM34" s="948"/>
      <c r="AN34" s="948"/>
      <c r="AO34" s="948"/>
      <c r="AP34" s="948"/>
      <c r="AQ34" s="948"/>
      <c r="AR34" s="948"/>
      <c r="AS34" s="948"/>
      <c r="AT34" s="1135"/>
      <c r="BA34" s="1781">
        <v>0</v>
      </c>
    </row>
    <row s="34794" customFormat="1" customHeight="1" ht="18.75" hidden="1">
      <c r="A35" s="1994"/>
      <c r="B35" s="1994"/>
      <c r="C35" s="1994"/>
      <c r="D35" s="1994"/>
      <c r="E35" s="1994"/>
      <c r="F35" s="1994"/>
      <c r="G35" s="1994"/>
      <c r="H35" s="1994"/>
      <c r="I35" s="1994"/>
      <c r="J35" s="1994"/>
      <c r="K35" s="1994"/>
      <c r="L35" s="1995"/>
      <c r="M35" s="1994"/>
      <c r="N35" s="1994"/>
      <c r="O35" s="1994"/>
      <c r="P35" s="1994"/>
      <c r="Q35" s="1994"/>
      <c r="S35" s="2876" t="s">
        <v>441</v>
      </c>
      <c r="T35" s="2876"/>
      <c r="U35" s="1998"/>
      <c r="V35" s="2890" t="str">
        <f>IF(TITLE_DATE_PR_CHANGE="",IF(TITLE_DATE_PR="","",TITLE_DATE_PR),TITLE_DATE_PR_CHANGE)</f>
        <v/>
      </c>
      <c r="W35" s="2890"/>
      <c r="X35" s="2890"/>
      <c r="Y35" s="2890"/>
      <c r="Z35" s="2890"/>
      <c r="AA35" s="952"/>
      <c r="AB35" s="2890" t="str">
        <f>IF(TITLE_DATE_PR_CHANGE="",IF(TITLE_DATE_PR="","",TITLE_DATE_PR),TITLE_DATE_PR_CHANGE)</f>
        <v/>
      </c>
      <c r="AC35" s="2890"/>
      <c r="AD35" s="2890"/>
      <c r="AE35" s="2890"/>
      <c r="AF35" s="2890"/>
      <c r="AG35" s="2890"/>
      <c r="AH35" s="2890"/>
      <c r="AI35" s="2890"/>
      <c r="AJ35" s="2890"/>
      <c r="AK35" s="2890"/>
      <c r="AL35" s="2890"/>
      <c r="AM35" s="2890"/>
      <c r="AN35" s="2890"/>
      <c r="AO35" s="2890"/>
      <c r="AP35" s="2890"/>
      <c r="AQ35" s="2890"/>
      <c r="AR35" s="2890"/>
      <c r="AS35" s="952"/>
      <c r="AT35" s="952"/>
      <c r="AU35" s="906"/>
      <c r="AV35" s="994"/>
      <c r="AW35" s="994"/>
      <c r="AX35" s="994"/>
      <c r="AY35" s="994"/>
      <c r="AZ35" s="994"/>
      <c r="BA35" s="1044">
        <v>0</v>
      </c>
    </row>
    <row s="34794" customFormat="1" customHeight="1" ht="18" hidden="1">
      <c r="A36" s="1994"/>
      <c r="B36" s="1994"/>
      <c r="C36" s="1994"/>
      <c r="D36" s="1994"/>
      <c r="E36" s="1994"/>
      <c r="F36" s="1994"/>
      <c r="G36" s="1994"/>
      <c r="H36" s="1994"/>
      <c r="I36" s="1994"/>
      <c r="J36" s="1994"/>
      <c r="K36" s="1994"/>
      <c r="L36" s="1995"/>
      <c r="M36" s="1994"/>
      <c r="N36" s="1994"/>
      <c r="O36" s="1994"/>
      <c r="P36" s="1994"/>
      <c r="Q36" s="1994"/>
      <c r="S36" s="2876" t="s">
        <v>442</v>
      </c>
      <c r="T36" s="2876"/>
      <c r="U36" s="1998"/>
      <c r="V36" s="2877" t="str">
        <f>IF(TITLE_NUMBER_PR_CHANGE="",IF(TITLE_NUMBER_PR="","",TITLE_NUMBER_PR),TITLE_NUMBER_PR_CHANGE)</f>
        <v/>
      </c>
      <c r="W36" s="2877"/>
      <c r="X36" s="2877"/>
      <c r="Y36" s="2877"/>
      <c r="Z36" s="2877"/>
      <c r="AA36" s="952"/>
      <c r="AB36" s="2877" t="str">
        <f>IF(TITLE_NUMBER_PR_CHANGE="",IF(TITLE_NUMBER_PR="","",TITLE_NUMBER_PR),TITLE_NUMBER_PR_CHANGE)</f>
        <v/>
      </c>
      <c r="AC36" s="2877"/>
      <c r="AD36" s="2877"/>
      <c r="AE36" s="2877"/>
      <c r="AF36" s="2877"/>
      <c r="AG36" s="2877"/>
      <c r="AH36" s="2877"/>
      <c r="AI36" s="2877"/>
      <c r="AJ36" s="2877"/>
      <c r="AK36" s="2877"/>
      <c r="AL36" s="2877"/>
      <c r="AM36" s="2877"/>
      <c r="AN36" s="2877"/>
      <c r="AO36" s="2877"/>
      <c r="AP36" s="2877"/>
      <c r="AQ36" s="2877"/>
      <c r="AR36" s="2877"/>
      <c r="AS36" s="952"/>
      <c r="AT36" s="952"/>
      <c r="AU36" s="906"/>
      <c r="AV36" s="994"/>
      <c r="AW36" s="994"/>
      <c r="AX36" s="994"/>
      <c r="AY36" s="994"/>
      <c r="AZ36" s="994"/>
      <c r="BA36" s="1044">
        <v>0</v>
      </c>
    </row>
    <row s="34794" customFormat="1" customHeight="1" ht="1.05">
      <c r="A37" s="1994"/>
      <c r="B37" s="1994"/>
      <c r="C37" s="1994"/>
      <c r="D37" s="1994"/>
      <c r="E37" s="1994"/>
      <c r="F37" s="1994"/>
      <c r="G37" s="1994"/>
      <c r="H37" s="1994"/>
      <c r="I37" s="1994"/>
      <c r="J37" s="1994"/>
      <c r="K37" s="1994"/>
      <c r="L37" s="1995"/>
      <c r="M37" s="1994"/>
      <c r="N37" s="1994"/>
      <c r="O37" s="1994"/>
      <c r="P37" s="1994"/>
      <c r="Q37" s="1994"/>
      <c r="S37" s="949"/>
      <c r="T37" s="949"/>
      <c r="U37" s="1966"/>
      <c r="V37" s="952"/>
      <c r="W37" s="952"/>
      <c r="X37" s="952"/>
      <c r="Y37" s="952"/>
      <c r="Z37" s="952"/>
      <c r="AA37" s="904" t="s">
        <v>445</v>
      </c>
      <c r="AB37" s="952"/>
      <c r="AC37" s="952"/>
      <c r="AD37" s="952"/>
      <c r="AE37" s="952"/>
      <c r="AF37" s="952"/>
      <c r="AG37" s="952"/>
      <c r="AH37" s="952"/>
      <c r="AI37" s="952"/>
      <c r="AJ37" s="952"/>
      <c r="AK37" s="952"/>
      <c r="AL37" s="952"/>
      <c r="AM37" s="952"/>
      <c r="AN37" s="952"/>
      <c r="AO37" s="952"/>
      <c r="AP37" s="952"/>
      <c r="AQ37" s="952"/>
      <c r="AR37" s="952"/>
      <c r="AS37" s="904" t="s">
        <v>445</v>
      </c>
      <c r="AV37" s="994"/>
      <c r="AW37" s="994"/>
      <c r="AX37" s="994"/>
      <c r="AY37" s="994"/>
      <c r="AZ37" s="994"/>
      <c r="BA37" s="1044">
        <v>1</v>
      </c>
    </row>
    <row customHeight="1" ht="14.699999999999998">
      <c r="Q38" s="917"/>
      <c r="R38" s="1002"/>
      <c r="S38" s="1901"/>
      <c r="T38" s="989"/>
      <c r="U38" s="1870"/>
      <c r="V38" s="2878"/>
      <c r="W38" s="2878"/>
      <c r="X38" s="2878"/>
      <c r="Y38" s="2878"/>
      <c r="Z38" s="2878"/>
      <c r="AA38" s="2878"/>
      <c r="AB38" s="2878"/>
      <c r="AC38" s="2878"/>
      <c r="AD38" s="2878"/>
      <c r="AE38" s="2878"/>
      <c r="AF38" s="2878"/>
      <c r="AG38" s="2878"/>
      <c r="AH38" s="2878"/>
      <c r="AI38" s="2878"/>
      <c r="AJ38" s="2878"/>
      <c r="AK38" s="2878"/>
      <c r="AL38" s="2878"/>
      <c r="AM38" s="2878"/>
      <c r="AN38" s="2878"/>
      <c r="AO38" s="2878"/>
      <c r="AP38" s="2878"/>
      <c r="AQ38" s="2878"/>
      <c r="AR38" s="2878"/>
      <c r="AS38" s="2878"/>
      <c r="BA38" s="1781">
        <v>14</v>
      </c>
    </row>
    <row customHeight="1" ht="14.699999999999998">
      <c r="Q39" s="917"/>
      <c r="R39" s="1002"/>
      <c r="S39" s="2753" t="s">
        <v>318</v>
      </c>
      <c r="T39" s="2753"/>
      <c r="U39" s="2753"/>
      <c r="V39" s="2753"/>
      <c r="W39" s="2753"/>
      <c r="X39" s="2753"/>
      <c r="Y39" s="2753"/>
      <c r="Z39" s="2753"/>
      <c r="AA39" s="2753"/>
      <c r="AB39" s="2801"/>
      <c r="AC39" s="2801"/>
      <c r="AD39" s="2801"/>
      <c r="AE39" s="2801"/>
      <c r="AF39" s="2753"/>
      <c r="AG39" s="2753"/>
      <c r="AH39" s="2753"/>
      <c r="AI39" s="2753"/>
      <c r="AJ39" s="2753"/>
      <c r="AK39" s="2753"/>
      <c r="AL39" s="2753"/>
      <c r="AM39" s="2753"/>
      <c r="AN39" s="2753"/>
      <c r="AO39" s="2753"/>
      <c r="AP39" s="2753"/>
      <c r="AQ39" s="2753"/>
      <c r="AR39" s="2753"/>
      <c r="AS39" s="2753"/>
      <c r="AT39" s="2753"/>
      <c r="AU39" s="2753" t="s">
        <v>319</v>
      </c>
      <c r="BA39" s="1781">
        <v>14</v>
      </c>
    </row>
    <row customHeight="1" ht="14.699999999999998">
      <c r="Q40" s="917"/>
      <c r="R40" s="1002"/>
      <c r="S40" s="2899" t="s">
        <v>88</v>
      </c>
      <c r="T40" s="2835" t="s">
        <v>491</v>
      </c>
      <c r="U40" s="927"/>
      <c r="V40" s="2901"/>
      <c r="W40" s="2901"/>
      <c r="X40" s="2901"/>
      <c r="Y40" s="2901"/>
      <c r="Z40" s="2902"/>
      <c r="AA40" s="2962" t="s">
        <v>448</v>
      </c>
      <c r="AB40" s="2954" t="s">
        <v>492</v>
      </c>
      <c r="AC40" s="2917"/>
      <c r="AD40" s="2917"/>
      <c r="AE40" s="2955"/>
      <c r="AF40" s="2917" t="s">
        <v>493</v>
      </c>
      <c r="AG40" s="2917"/>
      <c r="AH40" s="2917"/>
      <c r="AI40" s="2955"/>
      <c r="AJ40" s="2954" t="s">
        <v>494</v>
      </c>
      <c r="AK40" s="2917"/>
      <c r="AL40" s="2917"/>
      <c r="AM40" s="2955"/>
      <c r="AN40" s="2954" t="s">
        <v>447</v>
      </c>
      <c r="AO40" s="2917"/>
      <c r="AP40" s="2901"/>
      <c r="AQ40" s="2901"/>
      <c r="AR40" s="2902"/>
      <c r="AS40" s="2903" t="s">
        <v>448</v>
      </c>
      <c r="AT40" s="2906" t="s">
        <v>450</v>
      </c>
      <c r="AU40" s="2753"/>
      <c r="BA40" s="1781">
        <v>14</v>
      </c>
    </row>
    <row customHeight="1" ht="35.699999999999996">
      <c r="Q41" s="917"/>
      <c r="R41" s="1002"/>
      <c r="S41" s="2899"/>
      <c r="T41" s="2835"/>
      <c r="U41" s="1657"/>
      <c r="V41" s="2753" t="s">
        <v>495</v>
      </c>
      <c r="W41" s="2753"/>
      <c r="X41" s="2920" t="s">
        <v>454</v>
      </c>
      <c r="Y41" s="2939"/>
      <c r="Z41" s="2940"/>
      <c r="AA41" s="2963"/>
      <c r="AB41" s="2956"/>
      <c r="AC41" s="2957"/>
      <c r="AD41" s="2957"/>
      <c r="AE41" s="2958"/>
      <c r="AF41" s="2957"/>
      <c r="AG41" s="2957"/>
      <c r="AH41" s="2957"/>
      <c r="AI41" s="2958"/>
      <c r="AJ41" s="2956"/>
      <c r="AK41" s="2957"/>
      <c r="AL41" s="2957"/>
      <c r="AM41" s="2957"/>
      <c r="AN41" s="2753" t="s">
        <v>495</v>
      </c>
      <c r="AO41" s="2753"/>
      <c r="AP41" s="2939" t="s">
        <v>454</v>
      </c>
      <c r="AQ41" s="2939"/>
      <c r="AR41" s="2940"/>
      <c r="AS41" s="2904"/>
      <c r="AT41" s="2907"/>
      <c r="AU41" s="2753"/>
      <c r="BA41" s="1781">
        <v>34</v>
      </c>
    </row>
    <row customHeight="1" ht="14.699999999999998">
      <c r="Q42" s="917"/>
      <c r="R42" s="1002"/>
      <c r="S42" s="2899"/>
      <c r="T42" s="2835"/>
      <c r="U42" s="1657"/>
      <c r="V42" s="2966" t="str">
        <f>IF($AN$42&lt;&gt;"",$AN$42,"")</f>
        <v/>
      </c>
      <c r="W42" s="2966"/>
      <c r="X42" s="2921"/>
      <c r="Y42" s="2941"/>
      <c r="Z42" s="2942"/>
      <c r="AA42" s="2963"/>
      <c r="AB42" s="2956"/>
      <c r="AC42" s="2957"/>
      <c r="AD42" s="2957"/>
      <c r="AE42" s="2958"/>
      <c r="AF42" s="2957"/>
      <c r="AG42" s="2957"/>
      <c r="AH42" s="2957"/>
      <c r="AI42" s="2958"/>
      <c r="AJ42" s="2956"/>
      <c r="AK42" s="2957"/>
      <c r="AL42" s="2957"/>
      <c r="AM42" s="2957"/>
      <c r="AN42" s="2965"/>
      <c r="AO42" s="2965"/>
      <c r="AP42" s="2941"/>
      <c r="AQ42" s="2941"/>
      <c r="AR42" s="2942"/>
      <c r="AS42" s="2904"/>
      <c r="AT42" s="2907"/>
      <c r="AU42" s="2753"/>
      <c r="BA42" s="1781">
        <v>14</v>
      </c>
    </row>
    <row customHeight="1" ht="14.699999999999998">
      <c r="A43" s="1996"/>
      <c r="B43" s="1996" t="s">
        <v>155</v>
      </c>
      <c r="C43" s="1996" t="s">
        <v>156</v>
      </c>
      <c r="D43" s="1996" t="s">
        <v>157</v>
      </c>
      <c r="E43" s="1990" t="s">
        <v>455</v>
      </c>
      <c r="F43" s="1990" t="s">
        <v>456</v>
      </c>
      <c r="G43" s="1990" t="s">
        <v>457</v>
      </c>
      <c r="H43" s="1990" t="s">
        <v>458</v>
      </c>
      <c r="I43" s="1990" t="s">
        <v>459</v>
      </c>
      <c r="J43" s="1990" t="s">
        <v>460</v>
      </c>
      <c r="K43" s="1990" t="s">
        <v>461</v>
      </c>
      <c r="L43" s="1990" t="s">
        <v>436</v>
      </c>
      <c r="Q43" s="917"/>
      <c r="R43" s="1002"/>
      <c r="S43" s="2899"/>
      <c r="T43" s="2835"/>
      <c r="U43" s="928"/>
      <c r="V43" s="1956" t="s">
        <v>496</v>
      </c>
      <c r="W43" s="1956" t="s">
        <v>497</v>
      </c>
      <c r="X43" s="1964" t="s">
        <v>464</v>
      </c>
      <c r="Y43" s="2896" t="s">
        <v>465</v>
      </c>
      <c r="Z43" s="2897"/>
      <c r="AA43" s="2964"/>
      <c r="AB43" s="2959"/>
      <c r="AC43" s="2960"/>
      <c r="AD43" s="2960"/>
      <c r="AE43" s="2961"/>
      <c r="AF43" s="2960"/>
      <c r="AG43" s="2960"/>
      <c r="AH43" s="2960"/>
      <c r="AI43" s="2961"/>
      <c r="AJ43" s="2959"/>
      <c r="AK43" s="2960"/>
      <c r="AL43" s="2960"/>
      <c r="AM43" s="2961"/>
      <c r="AN43" s="2486" t="s">
        <v>496</v>
      </c>
      <c r="AO43" s="2486" t="s">
        <v>497</v>
      </c>
      <c r="AP43" s="1964" t="s">
        <v>464</v>
      </c>
      <c r="AQ43" s="2896" t="s">
        <v>465</v>
      </c>
      <c r="AR43" s="2897"/>
      <c r="AS43" s="2905"/>
      <c r="AT43" s="2908"/>
      <c r="AU43" s="2753"/>
      <c r="BA43" s="1781">
        <v>14</v>
      </c>
    </row>
    <row s="35197" customFormat="1" customHeight="1" ht="11.25" hidden="1">
      <c r="A44" s="1996"/>
      <c r="B44" s="1996"/>
      <c r="C44" s="1996"/>
      <c r="D44" s="1996"/>
      <c r="E44" s="1996"/>
      <c r="F44" s="1996"/>
      <c r="G44" s="1996"/>
      <c r="H44" s="1996"/>
      <c r="I44" s="1996"/>
      <c r="J44" s="1996"/>
      <c r="K44" s="1996"/>
      <c r="L44" s="1990"/>
      <c r="M44" s="1988"/>
      <c r="N44" s="1988"/>
      <c r="O44" s="1988"/>
      <c r="P44" s="1136"/>
      <c r="Q44" s="1880"/>
      <c r="R44" s="1880">
        <v>1</v>
      </c>
      <c r="S44" s="1903" t="s">
        <v>118</v>
      </c>
      <c r="T44" s="1881" t="s">
        <v>102</v>
      </c>
      <c r="U44" s="1871" t="str">
        <f>OFFSET(U44,0,-1)</f>
        <v>2</v>
      </c>
      <c r="V44" s="1961">
        <f>OFFSET(V44,0,-1)+1</f>
        <v>3</v>
      </c>
      <c r="W44" s="1961">
        <f>OFFSET(W44,0,-1)+1</f>
        <v>4</v>
      </c>
      <c r="X44" s="1961">
        <f>OFFSET(X44,0,-1)+1</f>
        <v>5</v>
      </c>
      <c r="Y44" s="2898">
        <f>OFFSET(Y44,0,-1)+1</f>
        <v>6</v>
      </c>
      <c r="Z44" s="2898"/>
      <c r="AA44" s="1961">
        <f>OFFSET(AA44,0,-2)+1</f>
        <v>7</v>
      </c>
      <c r="AB44" s="1967">
        <f>OFFSET(AB44,0,-1)+1</f>
        <v>8</v>
      </c>
      <c r="AC44" s="1967"/>
      <c r="AD44" s="1967"/>
      <c r="AE44" s="1967"/>
      <c r="AF44" s="1961"/>
      <c r="AG44" s="1961"/>
      <c r="AH44" s="1961"/>
      <c r="AI44" s="1961"/>
      <c r="AJ44" s="1961"/>
      <c r="AK44" s="1961"/>
      <c r="AL44" s="1961"/>
      <c r="AM44" s="1961"/>
      <c r="AN44" s="1961">
        <f>OFFSET(AN44,0,-1)+1</f>
        <v>1</v>
      </c>
      <c r="AO44" s="1961">
        <f>OFFSET(AO44,0,-1)+1</f>
        <v>2</v>
      </c>
      <c r="AP44" s="1961">
        <f>OFFSET(AP44,0,-1)+1</f>
        <v>3</v>
      </c>
      <c r="AQ44" s="2898">
        <f>OFFSET(AQ44,0,-1)+1</f>
        <v>4</v>
      </c>
      <c r="AR44" s="2898"/>
      <c r="AS44" s="1961">
        <f>OFFSET(AS44,0,-2)+1</f>
        <v>5</v>
      </c>
      <c r="AT44" s="1871">
        <f>OFFSET(AT44,0,-1)</f>
        <v>5</v>
      </c>
      <c r="AU44" s="1961">
        <f>OFFSET(AU44,0,-1)+1</f>
        <v>6</v>
      </c>
      <c r="AV44" s="1137"/>
      <c r="AW44" s="1137"/>
      <c r="AX44" s="1137"/>
      <c r="AY44" s="1137"/>
      <c r="AZ44" s="1137"/>
      <c r="BA44" s="1122">
        <v>0</v>
      </c>
    </row>
    <row customHeight="1" ht="107.25">
      <c r="A45" s="1989" t="s">
        <v>218</v>
      </c>
      <c r="B45" s="1989"/>
      <c r="C45" s="1989"/>
      <c r="D45" s="1989"/>
      <c r="E45" s="2884">
        <v>1</v>
      </c>
      <c r="F45" s="1989"/>
      <c r="G45" s="1989"/>
      <c r="H45" s="1989"/>
      <c r="I45" s="1989"/>
      <c r="J45" s="1989"/>
      <c r="K45" s="1989"/>
      <c r="L45" s="1990"/>
      <c r="M45" s="1991"/>
      <c r="N45" s="1991"/>
      <c r="O45" s="1991"/>
      <c r="P45" s="2035"/>
      <c r="Q45" s="1499"/>
      <c r="R45" s="981"/>
      <c r="S45" s="1962">
        <f>INDEX(PT_DIFFERENTIATION_NUM_NTAR,MATCH(A45,PT_DIFFERENTIATION_NTAR_ID,0))</f>
        <v>0</v>
      </c>
      <c r="T45" s="924" t="s">
        <v>143</v>
      </c>
      <c r="U45" s="926"/>
      <c r="V45" s="2869"/>
      <c r="W45" s="2869"/>
      <c r="X45" s="2869"/>
      <c r="Y45" s="2869"/>
      <c r="Z45" s="2869"/>
      <c r="AA45" s="2870"/>
      <c r="AB45" s="2868" t="str">
        <f>INDEX(PT_DIFFERENTIATION_NTAR,MATCH(A45,PT_DIFFERENTIATION_NTAR_ID,0))</f>
        <v/>
      </c>
      <c r="AC45" s="2869"/>
      <c r="AD45" s="2869"/>
      <c r="AE45" s="2869"/>
      <c r="AF45" s="2869"/>
      <c r="AG45" s="2869"/>
      <c r="AH45" s="2869"/>
      <c r="AI45" s="2869"/>
      <c r="AJ45" s="2869"/>
      <c r="AK45" s="2869"/>
      <c r="AL45" s="2869"/>
      <c r="AM45" s="2869"/>
      <c r="AN45" s="2869"/>
      <c r="AO45" s="2869"/>
      <c r="AP45" s="2869"/>
      <c r="AQ45" s="2869"/>
      <c r="AR45" s="2869"/>
      <c r="AS45" s="2869"/>
      <c r="AT45" s="2870"/>
      <c r="AU45" s="18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126"/>
      <c r="AX45" s="1126" t="str">
        <f>IF(T45="","",T45)</f>
        <v>Наименование тарифа</v>
      </c>
      <c r="AY45" s="1126"/>
      <c r="AZ45" s="1126"/>
      <c r="BA45" s="1781">
        <v>102</v>
      </c>
    </row>
    <row customHeight="1" ht="22.049999999999997">
      <c r="A46" s="1989" t="s">
        <v>218</v>
      </c>
      <c r="B46" s="1989" t="s">
        <v>219</v>
      </c>
      <c r="C46" s="1989"/>
      <c r="D46" s="1989"/>
      <c r="E46" s="2885"/>
      <c r="F46" s="2884">
        <v>1</v>
      </c>
      <c r="G46" s="1989"/>
      <c r="H46" s="1989"/>
      <c r="I46" s="1989"/>
      <c r="J46" s="1989"/>
      <c r="K46" s="1989"/>
      <c r="L46" s="1990"/>
      <c r="M46" s="1991"/>
      <c r="N46" s="1991"/>
      <c r="O46" s="1991"/>
      <c r="P46" s="2036"/>
      <c r="Q46" s="2037"/>
      <c r="R46" s="979"/>
      <c r="S46" s="1962" t="str">
        <f>INDEX(PT_DIFFERENTIATION_NUM_TER,MATCH(B46,PT_DIFFERENTIATION_TER_ID,0))</f>
        <v>.</v>
      </c>
      <c r="T46" s="934" t="s">
        <v>415</v>
      </c>
      <c r="U46" s="926"/>
      <c r="V46" s="2869"/>
      <c r="W46" s="2869"/>
      <c r="X46" s="2869"/>
      <c r="Y46" s="2869"/>
      <c r="Z46" s="2869"/>
      <c r="AA46" s="2870"/>
      <c r="AB46" s="2868" t="str">
        <f>INDEX(PT_DIFFERENTIATION_TER,MATCH(B46,PT_DIFFERENTIATION_TER_ID,0))</f>
        <v/>
      </c>
      <c r="AC46" s="2869"/>
      <c r="AD46" s="2869"/>
      <c r="AE46" s="2869"/>
      <c r="AF46" s="2869"/>
      <c r="AG46" s="2869"/>
      <c r="AH46" s="2869"/>
      <c r="AI46" s="2869"/>
      <c r="AJ46" s="2869"/>
      <c r="AK46" s="2869"/>
      <c r="AL46" s="2869"/>
      <c r="AM46" s="2869"/>
      <c r="AN46" s="2869"/>
      <c r="AO46" s="2869"/>
      <c r="AP46" s="2869"/>
      <c r="AQ46" s="2869"/>
      <c r="AR46" s="2869"/>
      <c r="AS46" s="2869"/>
      <c r="AT46" s="2870"/>
      <c r="AU46" s="1884" t="s">
        <v>416</v>
      </c>
      <c r="AW46" s="1126"/>
      <c r="AX46" s="1126" t="str">
        <f>IF(T46="","",T46)</f>
        <v>Территория действия тарифа</v>
      </c>
      <c r="AY46" s="1126"/>
      <c r="AZ46" s="1126"/>
      <c r="BA46" s="1781">
        <v>21</v>
      </c>
    </row>
    <row customHeight="1" ht="24">
      <c r="A47" s="1989" t="s">
        <v>218</v>
      </c>
      <c r="B47" s="1989" t="s">
        <v>219</v>
      </c>
      <c r="C47" s="1989" t="s">
        <v>220</v>
      </c>
      <c r="D47" s="1989"/>
      <c r="E47" s="2885"/>
      <c r="F47" s="2885"/>
      <c r="G47" s="2884">
        <v>1</v>
      </c>
      <c r="H47" s="1989"/>
      <c r="I47" s="1989"/>
      <c r="J47" s="1989"/>
      <c r="K47" s="1989"/>
      <c r="L47" s="1990"/>
      <c r="M47" s="1991"/>
      <c r="N47" s="1991"/>
      <c r="O47" s="1991"/>
      <c r="P47" s="2038"/>
      <c r="Q47" s="2037"/>
      <c r="R47" s="979"/>
      <c r="S47" s="1962" t="str">
        <f>INDEX(PT_DIFFERENTIATION_NUM_CS,MATCH(C47,PT_DIFFERENTIATION_CS_ID,0))</f>
        <v>..</v>
      </c>
      <c r="T47" s="935" t="s">
        <v>417</v>
      </c>
      <c r="U47" s="926"/>
      <c r="V47" s="2869"/>
      <c r="W47" s="2869"/>
      <c r="X47" s="2869"/>
      <c r="Y47" s="2869"/>
      <c r="Z47" s="2869"/>
      <c r="AA47" s="2870"/>
      <c r="AB47" s="2868" t="str">
        <f>INDEX(PT_DIFFERENTIATION_CS,MATCH(C47,PT_DIFFERENTIATION_CS_ID,0))</f>
        <v/>
      </c>
      <c r="AC47" s="2869"/>
      <c r="AD47" s="2869"/>
      <c r="AE47" s="2869"/>
      <c r="AF47" s="2869"/>
      <c r="AG47" s="2869"/>
      <c r="AH47" s="2869"/>
      <c r="AI47" s="2869"/>
      <c r="AJ47" s="2869"/>
      <c r="AK47" s="2869"/>
      <c r="AL47" s="2869"/>
      <c r="AM47" s="2869"/>
      <c r="AN47" s="2869"/>
      <c r="AO47" s="2869"/>
      <c r="AP47" s="2869"/>
      <c r="AQ47" s="2869"/>
      <c r="AR47" s="2869"/>
      <c r="AS47" s="2869"/>
      <c r="AT47" s="2870"/>
      <c r="AU47" s="1884" t="s">
        <v>418</v>
      </c>
      <c r="AW47" s="1126"/>
      <c r="AX47" s="1126" t="str">
        <f>IF(T47="","",T47)</f>
        <v>Наименование системы теплоснабжения </v>
      </c>
      <c r="AY47" s="1126"/>
      <c r="AZ47" s="1126"/>
      <c r="BA47" s="1781">
        <v>23</v>
      </c>
    </row>
    <row customHeight="1" ht="21">
      <c r="A48" s="1989" t="s">
        <v>218</v>
      </c>
      <c r="B48" s="1989" t="s">
        <v>219</v>
      </c>
      <c r="C48" s="1989" t="s">
        <v>220</v>
      </c>
      <c r="D48" s="1989" t="s">
        <v>221</v>
      </c>
      <c r="E48" s="2885"/>
      <c r="F48" s="2885"/>
      <c r="G48" s="2885"/>
      <c r="H48" s="2884">
        <v>1</v>
      </c>
      <c r="I48" s="1989"/>
      <c r="J48" s="1989"/>
      <c r="K48" s="1989"/>
      <c r="L48" s="1990"/>
      <c r="M48" s="1991"/>
      <c r="N48" s="1991"/>
      <c r="O48" s="1991"/>
      <c r="P48" s="2038"/>
      <c r="Q48" s="2037"/>
      <c r="R48" s="979"/>
      <c r="S48" s="1962" t="str">
        <f>INDEX(PT_DIFFERENTIATION_NUM_IST_TE,MATCH(D48,PT_DIFFERENTIATION_IST_TE_ID,0))</f>
        <v>...</v>
      </c>
      <c r="T48" s="936" t="s">
        <v>419</v>
      </c>
      <c r="U48" s="926"/>
      <c r="V48" s="2869"/>
      <c r="W48" s="2869"/>
      <c r="X48" s="2869"/>
      <c r="Y48" s="2869"/>
      <c r="Z48" s="2869"/>
      <c r="AA48" s="2870"/>
      <c r="AB48" s="2868" t="str">
        <f>INDEX(PT_DIFFERENTIATION_IST_TE,MATCH(D48,PT_DIFFERENTIATION_IST_TE_ID,0))</f>
        <v/>
      </c>
      <c r="AC48" s="2869"/>
      <c r="AD48" s="2869"/>
      <c r="AE48" s="2869"/>
      <c r="AF48" s="2869"/>
      <c r="AG48" s="2869"/>
      <c r="AH48" s="2869"/>
      <c r="AI48" s="2869"/>
      <c r="AJ48" s="2869"/>
      <c r="AK48" s="2869"/>
      <c r="AL48" s="2869"/>
      <c r="AM48" s="2869"/>
      <c r="AN48" s="2869"/>
      <c r="AO48" s="2869"/>
      <c r="AP48" s="2869"/>
      <c r="AQ48" s="2869"/>
      <c r="AR48" s="2869"/>
      <c r="AS48" s="2869"/>
      <c r="AT48" s="2870"/>
      <c r="AU48" s="1884" t="s">
        <v>420</v>
      </c>
      <c r="AW48" s="1126"/>
      <c r="AX48" s="1126" t="str">
        <f>IF(T48="","",T48)</f>
        <v>Источник тепловой энергии  </v>
      </c>
      <c r="AY48" s="1126"/>
      <c r="AZ48" s="1126"/>
      <c r="BA48" s="1781">
        <v>20</v>
      </c>
    </row>
    <row s="34658" customFormat="1" customHeight="1" ht="1.05">
      <c r="A49" s="1969" t="s">
        <v>218</v>
      </c>
      <c r="B49" s="1969" t="s">
        <v>219</v>
      </c>
      <c r="C49" s="1969" t="s">
        <v>220</v>
      </c>
      <c r="D49" s="1969" t="s">
        <v>221</v>
      </c>
      <c r="E49" s="2885"/>
      <c r="F49" s="2885"/>
      <c r="G49" s="2885"/>
      <c r="H49" s="2885"/>
      <c r="I49" s="2882" t="str">
        <f>S48&amp;".1"</f>
        <v>....1</v>
      </c>
      <c r="J49" s="1969"/>
      <c r="K49" s="1969"/>
      <c r="L49" s="1972" t="s">
        <v>421</v>
      </c>
      <c r="M49" s="1136"/>
      <c r="N49" s="1136"/>
      <c r="O49" s="1136"/>
      <c r="P49" s="2883">
        <v>1</v>
      </c>
      <c r="Q49" s="1957"/>
      <c r="R49" s="982"/>
      <c r="S49" s="1668"/>
      <c r="T49" s="2009"/>
      <c r="U49" s="2010"/>
      <c r="V49" s="2923"/>
      <c r="W49" s="2923"/>
      <c r="X49" s="2923"/>
      <c r="Y49" s="2923"/>
      <c r="Z49" s="2923"/>
      <c r="AA49" s="2924"/>
      <c r="AB49" s="2922"/>
      <c r="AC49" s="2923"/>
      <c r="AD49" s="2923"/>
      <c r="AE49" s="2923"/>
      <c r="AF49" s="2923"/>
      <c r="AG49" s="2923"/>
      <c r="AH49" s="2923"/>
      <c r="AI49" s="2923"/>
      <c r="AJ49" s="2923"/>
      <c r="AK49" s="2923"/>
      <c r="AL49" s="2923"/>
      <c r="AM49" s="2923"/>
      <c r="AN49" s="2923"/>
      <c r="AO49" s="2923"/>
      <c r="AP49" s="2923"/>
      <c r="AQ49" s="2923"/>
      <c r="AR49" s="2923"/>
      <c r="AS49" s="2923"/>
      <c r="AT49" s="2924"/>
      <c r="AU49" s="2011"/>
      <c r="AW49" s="1126"/>
      <c r="AX49" s="1126" t="str">
        <f>IF(T49="","",T49)</f>
        <v/>
      </c>
      <c r="AY49" s="1126"/>
      <c r="AZ49" s="1126"/>
      <c r="BA49" s="1137">
        <v>1</v>
      </c>
    </row>
    <row s="34658" customFormat="1" customHeight="1" ht="1.05">
      <c r="A50" s="1969" t="s">
        <v>218</v>
      </c>
      <c r="B50" s="1969" t="s">
        <v>219</v>
      </c>
      <c r="C50" s="1969" t="s">
        <v>220</v>
      </c>
      <c r="D50" s="1969" t="s">
        <v>221</v>
      </c>
      <c r="E50" s="2885"/>
      <c r="F50" s="2885"/>
      <c r="G50" s="2885"/>
      <c r="H50" s="2885"/>
      <c r="I50" s="2912"/>
      <c r="J50" s="2882" t="str">
        <f>S48&amp;".1"</f>
        <v>....1</v>
      </c>
      <c r="K50" s="1969"/>
      <c r="L50" s="1972"/>
      <c r="M50" s="1136"/>
      <c r="N50" s="1136"/>
      <c r="O50" s="1136"/>
      <c r="P50" s="2883"/>
      <c r="Q50" s="2883">
        <v>1</v>
      </c>
      <c r="R50" s="983"/>
      <c r="S50" s="1668"/>
      <c r="T50" s="2025"/>
      <c r="U50" s="2010"/>
      <c r="V50" s="2923"/>
      <c r="W50" s="2923"/>
      <c r="X50" s="2923"/>
      <c r="Y50" s="2923"/>
      <c r="Z50" s="2923"/>
      <c r="AA50" s="2924"/>
      <c r="AB50" s="2922"/>
      <c r="AC50" s="2923"/>
      <c r="AD50" s="2923"/>
      <c r="AE50" s="2923"/>
      <c r="AF50" s="2923"/>
      <c r="AG50" s="2923"/>
      <c r="AH50" s="2923"/>
      <c r="AI50" s="2923"/>
      <c r="AJ50" s="2923"/>
      <c r="AK50" s="2923"/>
      <c r="AL50" s="2923"/>
      <c r="AM50" s="2923"/>
      <c r="AN50" s="2923"/>
      <c r="AO50" s="2923"/>
      <c r="AP50" s="2923"/>
      <c r="AQ50" s="2923"/>
      <c r="AR50" s="2923"/>
      <c r="AS50" s="2923"/>
      <c r="AT50" s="2924"/>
      <c r="AU50" s="2011"/>
      <c r="AW50" s="1126"/>
      <c r="AX50" s="1126" t="str">
        <f>IF(T50="","",T50)</f>
        <v/>
      </c>
      <c r="AY50" s="1126"/>
      <c r="AZ50" s="1126"/>
      <c r="BA50" s="1137">
        <v>1</v>
      </c>
    </row>
    <row customHeight="1" ht="22.049999999999997">
      <c r="A51" s="1989" t="s">
        <v>218</v>
      </c>
      <c r="B51" s="1989" t="s">
        <v>219</v>
      </c>
      <c r="C51" s="1989" t="s">
        <v>220</v>
      </c>
      <c r="D51" s="1989" t="s">
        <v>221</v>
      </c>
      <c r="E51" s="2885"/>
      <c r="F51" s="2885"/>
      <c r="G51" s="2885"/>
      <c r="H51" s="2885"/>
      <c r="I51" s="2912"/>
      <c r="J51" s="2912"/>
      <c r="K51" s="2882" t="str">
        <f>S48&amp;".1"</f>
        <v>....1</v>
      </c>
      <c r="L51" s="1990"/>
      <c r="P51" s="2883"/>
      <c r="Q51" s="2883"/>
      <c r="R51" s="983">
        <v>1</v>
      </c>
      <c r="S51" s="2967" t="str">
        <f>$K51</f>
        <v>....1</v>
      </c>
      <c r="T51" s="2970"/>
      <c r="U51" s="926"/>
      <c r="V51" s="1377"/>
      <c r="W51" s="1883"/>
      <c r="X51" s="2360"/>
      <c r="Y51" s="2085" t="s">
        <v>66</v>
      </c>
      <c r="Z51" s="2360"/>
      <c r="AA51" s="2085" t="s">
        <v>66</v>
      </c>
      <c r="AB51" s="2733" t="s">
        <v>19</v>
      </c>
      <c r="AC51" s="2952"/>
      <c r="AD51" s="2831">
        <v>1</v>
      </c>
      <c r="AE51" s="2974" t="s">
        <v>22</v>
      </c>
      <c r="AF51" s="2733" t="s">
        <v>19</v>
      </c>
      <c r="AG51" s="2952"/>
      <c r="AH51" s="2831">
        <v>1</v>
      </c>
      <c r="AI51" s="2974" t="s">
        <v>22</v>
      </c>
      <c r="AJ51" s="2733" t="s">
        <v>19</v>
      </c>
      <c r="AK51" s="937"/>
      <c r="AL51" s="1963">
        <v>1</v>
      </c>
      <c r="AM51" s="2028"/>
      <c r="AN51" s="1377"/>
      <c r="AO51" s="1883"/>
      <c r="AP51" s="2360"/>
      <c r="AQ51" s="2085" t="s">
        <v>66</v>
      </c>
      <c r="AR51" s="2360"/>
      <c r="AS51" s="2085" t="s">
        <v>66</v>
      </c>
      <c r="AT51" s="1974"/>
      <c r="AU51" s="2879" t="s">
        <v>498</v>
      </c>
      <c r="AV51" s="1137">
        <f>STRCHECKDATE(V54:AT54)</f>
      </c>
      <c r="AW51" s="1126"/>
      <c r="AX51" s="1126" t="str">
        <f>IF(T51="","",T51)</f>
        <v/>
      </c>
      <c r="AY51" s="1126"/>
      <c r="AZ51" s="1126"/>
      <c r="BA51" s="1781">
        <v>21</v>
      </c>
    </row>
    <row customHeight="1" ht="11.549999999999999">
      <c r="A52" s="1989" t="s">
        <v>218</v>
      </c>
      <c r="B52" s="1989"/>
      <c r="C52" s="1989"/>
      <c r="D52" s="1989"/>
      <c r="E52" s="2885"/>
      <c r="F52" s="2885"/>
      <c r="G52" s="2885"/>
      <c r="H52" s="2885"/>
      <c r="I52" s="2912"/>
      <c r="J52" s="2912"/>
      <c r="K52" s="2882"/>
      <c r="L52" s="1990"/>
      <c r="P52" s="2883"/>
      <c r="Q52" s="2883"/>
      <c r="R52" s="983"/>
      <c r="S52" s="2968"/>
      <c r="T52" s="2971"/>
      <c r="U52" s="926"/>
      <c r="V52" s="2019"/>
      <c r="W52" s="2122"/>
      <c r="X52" s="2019"/>
      <c r="Y52" s="2019"/>
      <c r="Z52" s="2019"/>
      <c r="AA52" s="2019"/>
      <c r="AB52" s="2733"/>
      <c r="AC52" s="2952"/>
      <c r="AD52" s="2831"/>
      <c r="AE52" s="2974"/>
      <c r="AF52" s="2733"/>
      <c r="AG52" s="2952"/>
      <c r="AH52" s="2831"/>
      <c r="AI52" s="2974"/>
      <c r="AJ52" s="2733"/>
      <c r="AK52" s="942"/>
      <c r="AL52" s="1042"/>
      <c r="AM52" s="1041" t="s">
        <v>483</v>
      </c>
      <c r="AN52" s="2019"/>
      <c r="AO52" s="2122"/>
      <c r="AP52" s="2019"/>
      <c r="AQ52" s="2019"/>
      <c r="AR52" s="2019"/>
      <c r="AS52" s="2019"/>
      <c r="AT52" s="2016"/>
      <c r="AU52" s="2880"/>
      <c r="AW52" s="1126"/>
      <c r="AX52" s="1126"/>
      <c r="AY52" s="1126"/>
      <c r="AZ52" s="1126"/>
      <c r="BA52" s="1781">
        <v>11</v>
      </c>
    </row>
    <row customHeight="1" ht="11.549999999999999">
      <c r="A53" s="1989" t="s">
        <v>218</v>
      </c>
      <c r="B53" s="1989"/>
      <c r="C53" s="1989"/>
      <c r="D53" s="1989"/>
      <c r="E53" s="2885"/>
      <c r="F53" s="2885"/>
      <c r="G53" s="2885"/>
      <c r="H53" s="2885"/>
      <c r="I53" s="2912"/>
      <c r="J53" s="2912"/>
      <c r="K53" s="2882"/>
      <c r="L53" s="1990"/>
      <c r="P53" s="2883"/>
      <c r="Q53" s="2883"/>
      <c r="R53" s="983"/>
      <c r="S53" s="2968"/>
      <c r="T53" s="2971"/>
      <c r="U53" s="926"/>
      <c r="V53" s="2019"/>
      <c r="W53" s="2122"/>
      <c r="X53" s="2019"/>
      <c r="Y53" s="2019"/>
      <c r="Z53" s="2019"/>
      <c r="AA53" s="2019"/>
      <c r="AB53" s="2733"/>
      <c r="AC53" s="2952"/>
      <c r="AD53" s="2831"/>
      <c r="AE53" s="2974"/>
      <c r="AF53" s="2733"/>
      <c r="AG53" s="920"/>
      <c r="AH53" s="1041"/>
      <c r="AI53" s="1041" t="s">
        <v>484</v>
      </c>
      <c r="AJ53" s="2019"/>
      <c r="AK53" s="2019"/>
      <c r="AL53" s="2019"/>
      <c r="AM53" s="2019"/>
      <c r="AN53" s="2019"/>
      <c r="AO53" s="2122"/>
      <c r="AP53" s="2019"/>
      <c r="AQ53" s="2019"/>
      <c r="AR53" s="2019"/>
      <c r="AS53" s="2019"/>
      <c r="AT53" s="2016"/>
      <c r="AU53" s="2880"/>
      <c r="AW53" s="1126"/>
      <c r="AX53" s="1126"/>
      <c r="AY53" s="1126"/>
      <c r="AZ53" s="1126"/>
      <c r="BA53" s="1781">
        <v>11</v>
      </c>
    </row>
    <row customHeight="1" ht="11.549999999999999">
      <c r="A54" s="1989" t="s">
        <v>218</v>
      </c>
      <c r="B54" s="1989" t="s">
        <v>219</v>
      </c>
      <c r="C54" s="1989" t="s">
        <v>220</v>
      </c>
      <c r="D54" s="1989" t="s">
        <v>221</v>
      </c>
      <c r="E54" s="2885"/>
      <c r="F54" s="2885"/>
      <c r="G54" s="2885"/>
      <c r="H54" s="2885"/>
      <c r="I54" s="2912"/>
      <c r="J54" s="2912"/>
      <c r="K54" s="2882"/>
      <c r="L54" s="1990"/>
      <c r="P54" s="2883"/>
      <c r="Q54" s="2883"/>
      <c r="R54" s="983"/>
      <c r="S54" s="2969"/>
      <c r="T54" s="2972"/>
      <c r="U54" s="926"/>
      <c r="V54" s="2019"/>
      <c r="W54" s="2020" t="str">
        <f>X51&amp;"-"&amp;Z51</f>
        <v>-</v>
      </c>
      <c r="X54" s="2019"/>
      <c r="Y54" s="2019"/>
      <c r="Z54" s="2019"/>
      <c r="AA54" s="2019"/>
      <c r="AB54" s="2733"/>
      <c r="AC54" s="938"/>
      <c r="AD54" s="940"/>
      <c r="AE54" s="1041" t="s">
        <v>485</v>
      </c>
      <c r="AF54" s="2019"/>
      <c r="AG54" s="2019"/>
      <c r="AH54" s="2019"/>
      <c r="AI54" s="2019"/>
      <c r="AJ54" s="2019"/>
      <c r="AK54" s="2019"/>
      <c r="AL54" s="2019"/>
      <c r="AM54" s="2019"/>
      <c r="AN54" s="2019"/>
      <c r="AO54" s="2020" t="str">
        <f>AP51&amp;"-"&amp;AR51</f>
        <v>-</v>
      </c>
      <c r="AP54" s="2019"/>
      <c r="AQ54" s="2019"/>
      <c r="AR54" s="2019"/>
      <c r="AS54" s="2019"/>
      <c r="AT54" s="1975"/>
      <c r="AU54" s="2880"/>
      <c r="AW54" s="1126"/>
      <c r="AX54" s="1126" t="str">
        <f>IF(T54="","",T54)</f>
        <v/>
      </c>
      <c r="AY54" s="1126"/>
      <c r="AZ54" s="1126"/>
      <c r="BA54" s="1781">
        <v>11</v>
      </c>
    </row>
    <row customHeight="1" ht="11.549999999999999">
      <c r="A55" s="1989" t="s">
        <v>218</v>
      </c>
      <c r="B55" s="1989" t="s">
        <v>219</v>
      </c>
      <c r="C55" s="1989" t="s">
        <v>220</v>
      </c>
      <c r="D55" s="1989" t="s">
        <v>221</v>
      </c>
      <c r="E55" s="2885"/>
      <c r="F55" s="2885"/>
      <c r="G55" s="2885"/>
      <c r="H55" s="2885"/>
      <c r="I55" s="2912"/>
      <c r="J55" s="2882"/>
      <c r="K55" s="1989"/>
      <c r="L55" s="1990"/>
      <c r="P55" s="2883"/>
      <c r="Q55" s="2883"/>
      <c r="R55" s="982"/>
      <c r="S55" s="1904"/>
      <c r="T55" s="913" t="s">
        <v>486</v>
      </c>
      <c r="U55" s="993"/>
      <c r="V55" s="993"/>
      <c r="W55" s="993"/>
      <c r="X55" s="993"/>
      <c r="Y55" s="993"/>
      <c r="Z55" s="993"/>
      <c r="AA55" s="950"/>
      <c r="AB55" s="2131"/>
      <c r="AC55" s="993"/>
      <c r="AD55" s="993"/>
      <c r="AE55" s="993"/>
      <c r="AF55" s="993"/>
      <c r="AG55" s="993"/>
      <c r="AH55" s="993"/>
      <c r="AI55" s="993"/>
      <c r="AJ55" s="993"/>
      <c r="AK55" s="993"/>
      <c r="AL55" s="993"/>
      <c r="AM55" s="993"/>
      <c r="AN55" s="993"/>
      <c r="AO55" s="993"/>
      <c r="AP55" s="993"/>
      <c r="AQ55" s="993"/>
      <c r="AR55" s="993"/>
      <c r="AS55" s="993"/>
      <c r="AT55" s="950"/>
      <c r="AU55" s="2881"/>
      <c r="AW55" s="1126"/>
      <c r="AX55" s="1126" t="str">
        <f>IF(T55="","",T55)</f>
        <v>Добавить строку</v>
      </c>
      <c r="AY55" s="1126"/>
      <c r="AZ55" s="1126"/>
      <c r="BA55" s="1781">
        <v>11</v>
      </c>
    </row>
    <row s="34658" customFormat="1" customHeight="1" ht="1.05">
      <c r="A56" s="1969" t="s">
        <v>218</v>
      </c>
      <c r="B56" s="1969" t="s">
        <v>219</v>
      </c>
      <c r="C56" s="1969" t="s">
        <v>220</v>
      </c>
      <c r="D56" s="1969" t="s">
        <v>221</v>
      </c>
      <c r="E56" s="2885"/>
      <c r="F56" s="2885"/>
      <c r="G56" s="2885"/>
      <c r="H56" s="2885"/>
      <c r="I56" s="2882"/>
      <c r="J56" s="1969"/>
      <c r="K56" s="1969"/>
      <c r="L56" s="1972"/>
      <c r="M56" s="1136"/>
      <c r="N56" s="1136"/>
      <c r="O56" s="1136"/>
      <c r="P56" s="2883"/>
      <c r="Q56" s="1957"/>
      <c r="R56" s="982"/>
      <c r="S56" s="2012"/>
      <c r="T56" s="2013" t="s">
        <v>430</v>
      </c>
      <c r="U56" s="2014"/>
      <c r="V56" s="2014"/>
      <c r="W56" s="2014"/>
      <c r="X56" s="2014"/>
      <c r="Y56" s="2014"/>
      <c r="Z56" s="2014"/>
      <c r="AA56" s="2014"/>
      <c r="AB56" s="2014"/>
      <c r="AC56" s="2014"/>
      <c r="AD56" s="2014"/>
      <c r="AE56" s="2014"/>
      <c r="AF56" s="2014"/>
      <c r="AG56" s="2014"/>
      <c r="AH56" s="2014"/>
      <c r="AI56" s="2014"/>
      <c r="AJ56" s="2014"/>
      <c r="AK56" s="2014"/>
      <c r="AL56" s="2014"/>
      <c r="AM56" s="2014"/>
      <c r="AN56" s="2014"/>
      <c r="AO56" s="2014"/>
      <c r="AP56" s="2014"/>
      <c r="AQ56" s="2014"/>
      <c r="AR56" s="2014"/>
      <c r="AS56" s="2014"/>
      <c r="AT56" s="2014"/>
      <c r="AU56" s="2015"/>
      <c r="AW56" s="1126"/>
      <c r="AX56" s="1126" t="str">
        <f>IF(T56="","",T56)</f>
        <v>Добавить группу потребителей</v>
      </c>
      <c r="AY56" s="1126"/>
      <c r="AZ56" s="1126"/>
      <c r="BA56" s="1137">
        <v>1</v>
      </c>
    </row>
    <row s="35197" customFormat="1" customHeight="1" ht="1.05">
      <c r="A57" s="1969" t="s">
        <v>218</v>
      </c>
      <c r="B57" s="1969" t="s">
        <v>219</v>
      </c>
      <c r="C57" s="1969" t="s">
        <v>220</v>
      </c>
      <c r="D57" s="1969" t="s">
        <v>221</v>
      </c>
      <c r="E57" s="2885"/>
      <c r="F57" s="2885"/>
      <c r="G57" s="2885"/>
      <c r="H57" s="2884"/>
      <c r="I57" s="1969"/>
      <c r="J57" s="1969"/>
      <c r="K57" s="1969"/>
      <c r="L57" s="1972"/>
      <c r="M57" s="1941"/>
      <c r="N57" s="1941"/>
      <c r="O57" s="1144"/>
      <c r="P57" s="1006"/>
      <c r="Q57" s="1970"/>
      <c r="R57" s="2026"/>
      <c r="S57" s="2012"/>
      <c r="T57" s="2013"/>
      <c r="U57" s="2014"/>
      <c r="V57" s="2014"/>
      <c r="W57" s="2014"/>
      <c r="X57" s="2014"/>
      <c r="Y57" s="2014"/>
      <c r="Z57" s="2014"/>
      <c r="AA57" s="2014"/>
      <c r="AB57" s="2014"/>
      <c r="AC57" s="2014"/>
      <c r="AD57" s="2014"/>
      <c r="AE57" s="2014"/>
      <c r="AF57" s="2014"/>
      <c r="AG57" s="2014"/>
      <c r="AH57" s="2014"/>
      <c r="AI57" s="2014"/>
      <c r="AJ57" s="2014"/>
      <c r="AK57" s="2014"/>
      <c r="AL57" s="2014"/>
      <c r="AM57" s="2014"/>
      <c r="AN57" s="2014"/>
      <c r="AO57" s="2014"/>
      <c r="AP57" s="2014"/>
      <c r="AQ57" s="2014"/>
      <c r="AR57" s="2014"/>
      <c r="AS57" s="2014"/>
      <c r="AT57" s="2014"/>
      <c r="AU57" s="2015"/>
      <c r="AV57" s="1137"/>
      <c r="AW57" s="1126"/>
      <c r="AX57" s="1126" t="str">
        <f>IF(T57="","",T57)</f>
        <v/>
      </c>
      <c r="AY57" s="1126"/>
      <c r="AZ57" s="1126"/>
      <c r="BA57" s="1122">
        <v>1</v>
      </c>
    </row>
    <row s="34658" customFormat="1" customHeight="1" ht="1.05">
      <c r="A58" s="1969" t="s">
        <v>218</v>
      </c>
      <c r="B58" s="1969" t="s">
        <v>219</v>
      </c>
      <c r="C58" s="1969" t="s">
        <v>220</v>
      </c>
      <c r="D58" s="1940"/>
      <c r="E58" s="2885"/>
      <c r="F58" s="2885"/>
      <c r="G58" s="2884"/>
      <c r="H58" s="1940"/>
      <c r="I58" s="1940"/>
      <c r="J58" s="1940"/>
      <c r="K58" s="1940"/>
      <c r="L58" s="1965"/>
      <c r="M58" s="1941"/>
      <c r="N58" s="1941"/>
      <c r="P58" s="1942"/>
      <c r="Q58" s="1943"/>
      <c r="R58" s="1942"/>
      <c r="S58" s="1948"/>
      <c r="T58" s="1951" t="s">
        <v>432</v>
      </c>
      <c r="U58" s="1950"/>
      <c r="V58" s="1950"/>
      <c r="W58" s="1950"/>
      <c r="X58" s="1950"/>
      <c r="Y58" s="1950"/>
      <c r="Z58" s="1950"/>
      <c r="AA58" s="1950"/>
      <c r="AB58" s="1950"/>
      <c r="AC58" s="1950"/>
      <c r="AD58" s="1950"/>
      <c r="AE58" s="1950"/>
      <c r="AF58" s="1950"/>
      <c r="AG58" s="1950"/>
      <c r="AH58" s="1950"/>
      <c r="AI58" s="1950"/>
      <c r="AJ58" s="1950"/>
      <c r="AK58" s="1950"/>
      <c r="AL58" s="1950"/>
      <c r="AM58" s="1950"/>
      <c r="AN58" s="1950"/>
      <c r="AO58" s="1950"/>
      <c r="AP58" s="1950"/>
      <c r="AQ58" s="1950"/>
      <c r="AR58" s="1950"/>
      <c r="AS58" s="1950"/>
      <c r="AT58" s="1950"/>
      <c r="AU58" s="1950"/>
      <c r="AW58" s="1415"/>
      <c r="AX58" s="1415" t="str">
        <f>IF(T58="","",T58)</f>
        <v>Добавить источник для дифференциации</v>
      </c>
      <c r="AY58" s="1415"/>
      <c r="AZ58" s="1415"/>
      <c r="BA58" s="1144">
        <v>1</v>
      </c>
    </row>
    <row s="34658" customFormat="1" customHeight="1" ht="1.05">
      <c r="A59" s="1969" t="s">
        <v>218</v>
      </c>
      <c r="B59" s="1969" t="s">
        <v>219</v>
      </c>
      <c r="C59" s="1940"/>
      <c r="D59" s="1940"/>
      <c r="E59" s="2885"/>
      <c r="F59" s="2884"/>
      <c r="G59" s="1940"/>
      <c r="H59" s="1940"/>
      <c r="I59" s="1940"/>
      <c r="J59" s="1940"/>
      <c r="K59" s="1940"/>
      <c r="L59" s="1965"/>
      <c r="M59" s="1947"/>
      <c r="N59" s="1947"/>
      <c r="P59" s="1942"/>
      <c r="Q59" s="1943"/>
      <c r="R59" s="1942"/>
      <c r="S59" s="1948"/>
      <c r="T59" s="1951" t="s">
        <v>433</v>
      </c>
      <c r="U59" s="1950"/>
      <c r="V59" s="1950"/>
      <c r="W59" s="1950"/>
      <c r="X59" s="1950"/>
      <c r="Y59" s="1950"/>
      <c r="Z59" s="1950"/>
      <c r="AA59" s="1950"/>
      <c r="AB59" s="1950"/>
      <c r="AC59" s="1950"/>
      <c r="AD59" s="1950"/>
      <c r="AE59" s="1950"/>
      <c r="AF59" s="1950"/>
      <c r="AG59" s="1950"/>
      <c r="AH59" s="1950"/>
      <c r="AI59" s="1950"/>
      <c r="AJ59" s="1950"/>
      <c r="AK59" s="1950"/>
      <c r="AL59" s="1950"/>
      <c r="AM59" s="1950"/>
      <c r="AN59" s="1950"/>
      <c r="AO59" s="1950"/>
      <c r="AP59" s="1950"/>
      <c r="AQ59" s="1950"/>
      <c r="AR59" s="1950"/>
      <c r="AS59" s="1950"/>
      <c r="AT59" s="1950"/>
      <c r="AU59" s="1950"/>
      <c r="AW59" s="1415"/>
      <c r="AX59" s="1415" t="str">
        <f>IF(T59="","",T59)</f>
        <v>Добавить централизованную систему для дифференциации</v>
      </c>
      <c r="AY59" s="1415"/>
      <c r="AZ59" s="1415"/>
      <c r="BA59" s="1144">
        <v>1</v>
      </c>
    </row>
    <row s="34658" customFormat="1" customHeight="1" ht="1.05">
      <c r="A60" s="1969" t="s">
        <v>218</v>
      </c>
      <c r="B60" s="1969"/>
      <c r="C60" s="1969"/>
      <c r="D60" s="1969"/>
      <c r="E60" s="2885"/>
      <c r="F60" s="1969"/>
      <c r="G60" s="1969"/>
      <c r="H60" s="1969"/>
      <c r="I60" s="1969"/>
      <c r="J60" s="1969"/>
      <c r="K60" s="1969"/>
      <c r="L60" s="1972"/>
      <c r="M60" s="1947"/>
      <c r="N60" s="1947"/>
      <c r="O60" s="1144"/>
      <c r="P60" s="1006"/>
      <c r="Q60" s="1970"/>
      <c r="R60" s="1006"/>
      <c r="S60" s="1948"/>
      <c r="T60" s="1951" t="s">
        <v>434</v>
      </c>
      <c r="U60" s="1950"/>
      <c r="V60" s="1950"/>
      <c r="W60" s="1950"/>
      <c r="X60" s="1950"/>
      <c r="Y60" s="1950"/>
      <c r="Z60" s="1950"/>
      <c r="AA60" s="1950"/>
      <c r="AB60" s="1950"/>
      <c r="AC60" s="1950"/>
      <c r="AD60" s="1950"/>
      <c r="AE60" s="1950"/>
      <c r="AF60" s="1950"/>
      <c r="AG60" s="1950"/>
      <c r="AH60" s="1950"/>
      <c r="AI60" s="1950"/>
      <c r="AJ60" s="1950"/>
      <c r="AK60" s="1950"/>
      <c r="AL60" s="1950"/>
      <c r="AM60" s="1950"/>
      <c r="AN60" s="1950"/>
      <c r="AO60" s="1950"/>
      <c r="AP60" s="1950"/>
      <c r="AQ60" s="1950"/>
      <c r="AR60" s="1950"/>
      <c r="AS60" s="1950"/>
      <c r="AT60" s="1950"/>
      <c r="AU60" s="1950"/>
      <c r="AW60" s="1126"/>
      <c r="AX60" s="1126" t="str">
        <f>IF(T60="","",T60)</f>
        <v>Добавить территорию для дифференциации</v>
      </c>
      <c r="AY60" s="1126"/>
      <c r="AZ60" s="1126"/>
      <c r="BA60" s="1137">
        <v>1</v>
      </c>
    </row>
    <row s="34658" customFormat="1" customHeight="1" ht="1.05">
      <c r="A61" s="1969" t="s">
        <v>218</v>
      </c>
      <c r="B61" s="1969"/>
      <c r="C61" s="1969"/>
      <c r="D61" s="1969"/>
      <c r="E61" s="2884"/>
      <c r="F61" s="1969"/>
      <c r="G61" s="1969"/>
      <c r="H61" s="1969"/>
      <c r="I61" s="1969"/>
      <c r="J61" s="1969"/>
      <c r="K61" s="1969"/>
      <c r="L61" s="1972"/>
      <c r="M61" s="1947"/>
      <c r="N61" s="1947"/>
      <c r="O61" s="1144"/>
      <c r="P61" s="1006"/>
      <c r="Q61" s="1970"/>
      <c r="R61" s="1006"/>
      <c r="S61" s="1948"/>
      <c r="T61" s="1951" t="s">
        <v>434</v>
      </c>
      <c r="U61" s="1950"/>
      <c r="V61" s="1950"/>
      <c r="W61" s="1950"/>
      <c r="X61" s="1950"/>
      <c r="Y61" s="1950"/>
      <c r="Z61" s="1950"/>
      <c r="AA61" s="1950"/>
      <c r="AB61" s="1950"/>
      <c r="AC61" s="1950"/>
      <c r="AD61" s="1950"/>
      <c r="AE61" s="1950"/>
      <c r="AF61" s="1950"/>
      <c r="AG61" s="1950"/>
      <c r="AH61" s="1950"/>
      <c r="AI61" s="1950"/>
      <c r="AJ61" s="1950"/>
      <c r="AK61" s="1950"/>
      <c r="AL61" s="1950"/>
      <c r="AM61" s="1950"/>
      <c r="AN61" s="1950"/>
      <c r="AO61" s="1950"/>
      <c r="AP61" s="1950"/>
      <c r="AQ61" s="1950"/>
      <c r="AR61" s="1950"/>
      <c r="AS61" s="1950"/>
      <c r="AT61" s="1950"/>
      <c r="AU61" s="1950"/>
      <c r="AW61" s="1126"/>
      <c r="AX61" s="1126" t="str">
        <f>IF(T61="","",T61)</f>
        <v>Добавить территорию для дифференциации</v>
      </c>
      <c r="AY61" s="1126"/>
      <c r="AZ61" s="1126"/>
      <c r="BA61" s="1137">
        <v>1</v>
      </c>
    </row>
    <row s="34658" customFormat="1" customHeight="1" ht="1.05">
      <c r="A62" s="1940"/>
      <c r="B62" s="1940"/>
      <c r="C62" s="1940"/>
      <c r="D62" s="1940"/>
      <c r="E62" s="1969"/>
      <c r="F62" s="1940"/>
      <c r="G62" s="1940"/>
      <c r="H62" s="1940"/>
      <c r="I62" s="1940"/>
      <c r="J62" s="1940"/>
      <c r="K62" s="1940"/>
      <c r="L62" s="1965"/>
      <c r="M62" s="1947"/>
      <c r="N62" s="1947"/>
      <c r="P62" s="1942"/>
      <c r="Q62" s="1943"/>
      <c r="R62" s="1942"/>
      <c r="S62" s="1948"/>
      <c r="T62" s="1951" t="s">
        <v>466</v>
      </c>
      <c r="U62" s="1950"/>
      <c r="V62" s="1950"/>
      <c r="W62" s="1950"/>
      <c r="X62" s="1950"/>
      <c r="Y62" s="1950"/>
      <c r="Z62" s="1950"/>
      <c r="AA62" s="1950"/>
      <c r="AB62" s="1950"/>
      <c r="AC62" s="1950"/>
      <c r="AD62" s="1950"/>
      <c r="AE62" s="1950"/>
      <c r="AF62" s="1950"/>
      <c r="AG62" s="1950"/>
      <c r="AH62" s="1950"/>
      <c r="AI62" s="1950"/>
      <c r="AJ62" s="1950"/>
      <c r="AK62" s="1950"/>
      <c r="AL62" s="1950"/>
      <c r="AM62" s="1950"/>
      <c r="AN62" s="1950"/>
      <c r="AO62" s="1950"/>
      <c r="AP62" s="1950"/>
      <c r="AQ62" s="1950"/>
      <c r="AR62" s="1950"/>
      <c r="AS62" s="1950"/>
      <c r="AT62" s="1950"/>
      <c r="AU62" s="1950"/>
      <c r="AW62" s="1415"/>
      <c r="AX62" s="1415" t="str">
        <f>IF(T62="","",T62)</f>
        <v>Добавить наименование тарифа</v>
      </c>
      <c r="AY62" s="1415"/>
      <c r="AZ62" s="1415"/>
      <c r="BA62" s="1144">
        <v>1</v>
      </c>
    </row>
    <row customHeight="1" ht="11.549999999999999">
      <c r="M63" s="1786"/>
      <c r="N63" s="1786"/>
      <c r="O63" s="1163"/>
      <c r="P63" s="1786"/>
      <c r="Q63" s="1786"/>
      <c r="R63" s="1781"/>
      <c r="S63" s="1781"/>
      <c r="AV63" s="1781"/>
      <c r="AW63" s="1781"/>
      <c r="AX63" s="1781"/>
      <c r="AY63" s="1781"/>
      <c r="AZ63" s="1781"/>
      <c r="BA63" s="1781">
        <v>11</v>
      </c>
    </row>
    <row customHeight="1" ht="19.95">
      <c r="O64" s="1163"/>
      <c r="S64" s="1879"/>
      <c r="T64" s="2911"/>
      <c r="U64" s="2911"/>
      <c r="V64" s="2911"/>
      <c r="W64" s="2911"/>
      <c r="X64" s="2911"/>
      <c r="Y64" s="2911"/>
      <c r="Z64" s="2911"/>
      <c r="AA64" s="2911"/>
      <c r="AB64" s="2911"/>
      <c r="AC64" s="2911"/>
      <c r="AD64" s="2911"/>
      <c r="AE64" s="2911"/>
      <c r="AF64" s="2911"/>
      <c r="AG64" s="2911"/>
      <c r="AH64" s="2911"/>
      <c r="AI64" s="2911"/>
      <c r="AJ64" s="2911"/>
      <c r="AK64" s="2911"/>
      <c r="AL64" s="2911"/>
      <c r="AM64" s="2911"/>
      <c r="AN64" s="2911"/>
      <c r="AO64" s="2911"/>
      <c r="AP64" s="2911"/>
      <c r="AQ64" s="2911"/>
      <c r="AR64" s="2911"/>
      <c r="AS64" s="2911"/>
      <c r="AT64" s="2911"/>
      <c r="AU64" s="2911"/>
      <c r="BA64" s="1781">
        <v>19</v>
      </c>
    </row>
    <row customHeight="1" ht="21">
      <c r="O65" s="1163"/>
      <c r="T65" s="2911"/>
      <c r="U65" s="2911"/>
      <c r="V65" s="2911"/>
      <c r="W65" s="2911"/>
      <c r="X65" s="2911"/>
      <c r="Y65" s="2911"/>
      <c r="Z65" s="2911"/>
      <c r="AA65" s="2911"/>
      <c r="AB65" s="2911"/>
      <c r="AC65" s="2911"/>
      <c r="AD65" s="2911"/>
      <c r="AE65" s="2911"/>
      <c r="AF65" s="2911"/>
      <c r="AG65" s="2911"/>
      <c r="AH65" s="2911"/>
      <c r="AI65" s="2911"/>
      <c r="AJ65" s="2911"/>
      <c r="AK65" s="2911"/>
      <c r="AL65" s="2911"/>
      <c r="AM65" s="2911"/>
      <c r="AN65" s="2911"/>
      <c r="AO65" s="2911"/>
      <c r="AP65" s="2911"/>
      <c r="AQ65" s="2911"/>
      <c r="AR65" s="2911"/>
      <c r="AS65" s="2911"/>
      <c r="AT65" s="2911"/>
      <c r="AU65" s="2911"/>
      <c r="BA65" s="1781">
        <v>20</v>
      </c>
    </row>
    <row customHeight="1" ht="14.699999999999998">
      <c r="O66" s="1163"/>
      <c r="T66" s="1959"/>
      <c r="U66" s="1959"/>
      <c r="V66" s="1959"/>
      <c r="W66" s="1959"/>
      <c r="X66" s="1959"/>
      <c r="Y66" s="1959"/>
      <c r="Z66" s="1959"/>
      <c r="AA66" s="1959"/>
      <c r="AB66" s="1959"/>
      <c r="AC66" s="1959"/>
      <c r="AD66" s="1959"/>
      <c r="AE66" s="1959"/>
      <c r="AF66" s="1959"/>
      <c r="AG66" s="1959"/>
      <c r="AH66" s="1959"/>
      <c r="AI66" s="1959"/>
      <c r="AJ66" s="1959"/>
      <c r="AK66" s="1959"/>
      <c r="AL66" s="1959"/>
      <c r="AM66" s="1959"/>
      <c r="AN66" s="1959"/>
      <c r="AO66" s="1959"/>
      <c r="AP66" s="1959"/>
      <c r="AQ66" s="1959"/>
      <c r="AR66" s="1959"/>
      <c r="AS66" s="1959"/>
      <c r="AT66" s="1959"/>
      <c r="AU66" s="1959"/>
      <c r="BA66" s="1781">
        <v>14</v>
      </c>
    </row>
    <row customHeight="1" ht="19.95">
      <c r="O67" s="1163"/>
      <c r="T67" s="2911"/>
      <c r="U67" s="2911"/>
      <c r="V67" s="2911"/>
      <c r="W67" s="2911"/>
      <c r="X67" s="2911"/>
      <c r="Y67" s="2911"/>
      <c r="Z67" s="2911"/>
      <c r="AA67" s="2911"/>
      <c r="AB67" s="2911"/>
      <c r="AC67" s="2911"/>
      <c r="AD67" s="2911"/>
      <c r="AE67" s="2911"/>
      <c r="AF67" s="2911"/>
      <c r="AG67" s="2911"/>
      <c r="AH67" s="2911"/>
      <c r="AI67" s="2911"/>
      <c r="AJ67" s="2911"/>
      <c r="AK67" s="2911"/>
      <c r="AL67" s="2911"/>
      <c r="AM67" s="2911"/>
      <c r="AN67" s="2911"/>
      <c r="AO67" s="2911"/>
      <c r="AP67" s="2911"/>
      <c r="AQ67" s="2911"/>
      <c r="AR67" s="2911"/>
      <c r="AS67" s="2911"/>
      <c r="AT67" s="2911"/>
      <c r="AU67" s="2911"/>
      <c r="BA67" s="1781">
        <v>19</v>
      </c>
    </row>
    <row customHeight="1" ht="16.8">
      <c r="O68" s="1163"/>
      <c r="T68" s="2911"/>
      <c r="U68" s="2911"/>
      <c r="V68" s="2911"/>
      <c r="W68" s="2911"/>
      <c r="X68" s="2911"/>
      <c r="Y68" s="2911"/>
      <c r="Z68" s="2911"/>
      <c r="AA68" s="2911"/>
      <c r="AB68" s="2911"/>
      <c r="AC68" s="2911"/>
      <c r="AD68" s="2911"/>
      <c r="AE68" s="2911"/>
      <c r="AF68" s="2911"/>
      <c r="AG68" s="2911"/>
      <c r="AH68" s="2911"/>
      <c r="AI68" s="2911"/>
      <c r="AJ68" s="2911"/>
      <c r="AK68" s="2911"/>
      <c r="AL68" s="2911"/>
      <c r="AM68" s="2911"/>
      <c r="AN68" s="2911"/>
      <c r="AO68" s="2911"/>
      <c r="AP68" s="2911"/>
      <c r="AQ68" s="2911"/>
      <c r="AR68" s="2911"/>
      <c r="AS68" s="2911"/>
      <c r="AT68" s="2911"/>
      <c r="AU68" s="2911"/>
      <c r="BA68" s="1781">
        <v>16</v>
      </c>
    </row>
    <row customHeight="1" ht="14.699999999999998">
      <c r="O69" s="1163"/>
      <c r="BA69" s="1781">
        <v>14</v>
      </c>
    </row>
    <row customHeight="1" ht="22.5" hidden="1">
      <c r="A70" s="1786" t="s">
        <v>82</v>
      </c>
      <c r="B70" s="1786">
        <v>0</v>
      </c>
      <c r="C70" s="1786">
        <v>0</v>
      </c>
      <c r="D70" s="1786">
        <v>0</v>
      </c>
      <c r="E70" s="1786">
        <v>0</v>
      </c>
      <c r="F70" s="1786">
        <v>0</v>
      </c>
      <c r="G70" s="1786">
        <v>0</v>
      </c>
      <c r="H70" s="1786">
        <v>0</v>
      </c>
      <c r="I70" s="1786">
        <v>0</v>
      </c>
      <c r="J70" s="1786">
        <v>0</v>
      </c>
      <c r="K70" s="1786">
        <v>0</v>
      </c>
      <c r="L70" s="1955">
        <v>0</v>
      </c>
      <c r="M70" s="1988">
        <v>0</v>
      </c>
      <c r="N70" s="1988">
        <v>0</v>
      </c>
      <c r="O70" s="1988">
        <v>0</v>
      </c>
      <c r="P70" s="1988">
        <v>3</v>
      </c>
      <c r="Q70" s="1997">
        <v>3</v>
      </c>
      <c r="R70" s="970">
        <v>3</v>
      </c>
      <c r="S70" s="1207">
        <v>12</v>
      </c>
      <c r="T70" s="1781">
        <v>31</v>
      </c>
      <c r="U70" s="1781">
        <v>0</v>
      </c>
      <c r="V70" s="1781">
        <v>0</v>
      </c>
      <c r="W70" s="1781">
        <v>0</v>
      </c>
      <c r="X70" s="1781">
        <v>0</v>
      </c>
      <c r="Y70" s="1781">
        <v>0</v>
      </c>
      <c r="Z70" s="1781">
        <v>0</v>
      </c>
      <c r="AA70" s="1781">
        <v>0</v>
      </c>
      <c r="AB70" s="1781">
        <v>5</v>
      </c>
      <c r="AC70" s="1781">
        <v>3</v>
      </c>
      <c r="AD70" s="1781">
        <v>3</v>
      </c>
      <c r="AE70" s="1781">
        <v>24</v>
      </c>
      <c r="AF70" s="1781">
        <v>3</v>
      </c>
      <c r="AG70" s="1781">
        <v>3</v>
      </c>
      <c r="AH70" s="1781">
        <v>3</v>
      </c>
      <c r="AI70" s="1781">
        <v>24</v>
      </c>
      <c r="AJ70" s="1781">
        <v>3</v>
      </c>
      <c r="AK70" s="1781">
        <v>3</v>
      </c>
      <c r="AL70" s="1781">
        <v>3</v>
      </c>
      <c r="AM70" s="1781">
        <v>18</v>
      </c>
      <c r="AN70" s="1781">
        <v>21</v>
      </c>
      <c r="AO70" s="1781">
        <v>21</v>
      </c>
      <c r="AP70" s="1781">
        <v>11</v>
      </c>
      <c r="AQ70" s="1781">
        <v>3</v>
      </c>
      <c r="AR70" s="1781">
        <v>11</v>
      </c>
      <c r="AS70" s="1781">
        <v>8</v>
      </c>
      <c r="AT70" s="1781">
        <v>4</v>
      </c>
      <c r="AU70" s="1781">
        <v>115</v>
      </c>
      <c r="AV70" s="1137">
        <v>10</v>
      </c>
      <c r="AW70" s="1137">
        <v>10</v>
      </c>
      <c r="AX70" s="1137">
        <v>10</v>
      </c>
      <c r="AY70" s="1137">
        <v>10</v>
      </c>
      <c r="AZ70" s="1137">
        <v>10</v>
      </c>
      <c r="BA70" s="1781">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5B2283-D873-05E3-F4A9-C96CEB19F24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4.140625" hidden="1" customWidth="1"/>
    <col min="10" max="10" style="34657" width="9.8515625" hidden="1" customWidth="1"/>
    <col min="11" max="11" style="34657" width="14.71093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5.00390625" customWidth="1"/>
    <col min="21" max="21" style="34580" width="0.140625" customWidth="1"/>
    <col min="22" max="24" style="34580" width="24.7109375" hidden="1" customWidth="1"/>
    <col min="25" max="25" style="34580" width="11.7109375" hidden="1" customWidth="1"/>
    <col min="26" max="26" style="34580" width="3.7109375" hidden="1" customWidth="1"/>
    <col min="27" max="27" style="34580" width="11.7109375" hidden="1" customWidth="1"/>
    <col min="28" max="28" style="34580" width="8.57421875" hidden="1" customWidth="1"/>
    <col min="29" max="29" style="34580" width="24.7109375" customWidth="1"/>
    <col min="30" max="31" style="34580" width="24.00390625" customWidth="1"/>
    <col min="32" max="32" style="34580" width="11.00390625" customWidth="1"/>
    <col min="33" max="33" style="34580" width="3.7109375" customWidth="1"/>
    <col min="34" max="34" style="34580" width="11.00390625" customWidth="1"/>
    <col min="35" max="35" style="34580" width="8.57421875" hidden="1" customWidth="1"/>
    <col min="36" max="36" style="34580" width="4.00390625" customWidth="1"/>
    <col min="37" max="37" style="34580" width="115.00390625" customWidth="1"/>
    <col min="38" max="42" style="34658" width="10.00390625" customWidth="1"/>
    <col min="43" max="43" style="34580" width="10.57421875" hidden="1"/>
  </cols>
  <sheetData>
    <row customHeight="1" ht="22.5" hidden="1">
      <c r="X1" s="953"/>
      <c r="Y1" s="953"/>
      <c r="AE1" s="953"/>
      <c r="AF1" s="953"/>
      <c r="AQ1" s="1781" t="s">
        <v>14</v>
      </c>
    </row>
    <row customHeight="1" ht="23.25" hidden="1">
      <c r="A2" s="1989"/>
      <c r="B2" s="1989"/>
      <c r="C2" s="1989"/>
      <c r="D2" s="1989"/>
      <c r="E2" s="2884">
        <v>1</v>
      </c>
      <c r="F2" s="1989"/>
      <c r="G2" s="1989"/>
      <c r="H2" s="1989"/>
      <c r="I2" s="1989"/>
      <c r="J2" s="1989"/>
      <c r="K2" s="1989"/>
      <c r="L2" s="1990"/>
      <c r="M2" s="1991"/>
      <c r="N2" s="1991"/>
      <c r="O2" s="1991"/>
      <c r="P2" s="987"/>
      <c r="Q2" s="986"/>
      <c r="R2" s="981"/>
      <c r="S2" s="2051">
        <f>INDEX(PT_DIFFERENTIATION_NUM_NTAR,MATCH(A2,PT_DIFFERENTIATION_NTAR_ID,0))</f>
      </c>
      <c r="T2" s="924" t="s">
        <v>143</v>
      </c>
      <c r="U2" s="926"/>
      <c r="V2" s="2868"/>
      <c r="W2" s="2869"/>
      <c r="X2" s="2869"/>
      <c r="Y2" s="2869"/>
      <c r="Z2" s="2869"/>
      <c r="AA2" s="2869"/>
      <c r="AB2" s="2870"/>
      <c r="AC2" s="2868">
        <f>INDEX(PT_DIFFERENTIATION_NTAR,MATCH(A2,PT_DIFFERENTIATION_NTAR_ID,0))</f>
      </c>
      <c r="AD2" s="2869"/>
      <c r="AE2" s="2869"/>
      <c r="AF2" s="2869"/>
      <c r="AG2" s="2869"/>
      <c r="AH2" s="2869"/>
      <c r="AI2" s="2869"/>
      <c r="AJ2" s="2870"/>
      <c r="AK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26"/>
      <c r="AN2" s="1126" t="str">
        <f>IF(T2="","",T2)</f>
        <v>Наименование тарифа</v>
      </c>
      <c r="AO2" s="1126"/>
      <c r="AP2" s="1126"/>
      <c r="AQ2" s="1781">
        <v>0</v>
      </c>
    </row>
    <row customHeight="1" ht="23.25" hidden="1">
      <c r="A3" s="1989"/>
      <c r="B3" s="1989"/>
      <c r="C3" s="1989"/>
      <c r="D3" s="1989"/>
      <c r="E3" s="2885"/>
      <c r="F3" s="2884">
        <v>1</v>
      </c>
      <c r="G3" s="1989"/>
      <c r="H3" s="1989"/>
      <c r="I3" s="1989"/>
      <c r="J3" s="1989"/>
      <c r="K3" s="1989"/>
      <c r="L3" s="1990"/>
      <c r="M3" s="1991"/>
      <c r="N3" s="1991"/>
      <c r="O3" s="1991"/>
      <c r="P3" s="2049"/>
      <c r="Q3" s="978"/>
      <c r="R3" s="979"/>
      <c r="S3" s="2051">
        <f>INDEX(PT_DIFFERENTIATION_NUM_TER,MATCH(B3,PT_DIFFERENTIATION_TER_ID,0))</f>
      </c>
      <c r="T3" s="934" t="s">
        <v>415</v>
      </c>
      <c r="U3" s="926"/>
      <c r="V3" s="2868"/>
      <c r="W3" s="2869"/>
      <c r="X3" s="2869"/>
      <c r="Y3" s="2869"/>
      <c r="Z3" s="2869"/>
      <c r="AA3" s="2869"/>
      <c r="AB3" s="2870"/>
      <c r="AC3" s="2868">
        <f>INDEX(PT_DIFFERENTIATION_TER,MATCH(B3,PT_DIFFERENTIATION_TER_ID,0))</f>
      </c>
      <c r="AD3" s="2869"/>
      <c r="AE3" s="2869"/>
      <c r="AF3" s="2869"/>
      <c r="AG3" s="2869"/>
      <c r="AH3" s="2869"/>
      <c r="AI3" s="2869"/>
      <c r="AJ3" s="2870"/>
      <c r="AK3" s="1884" t="s">
        <v>416</v>
      </c>
      <c r="AM3" s="1126"/>
      <c r="AN3" s="1126" t="str">
        <f>IF(T3="","",T3)</f>
        <v>Территория действия тарифа</v>
      </c>
      <c r="AO3" s="1126"/>
      <c r="AP3" s="1126"/>
      <c r="AQ3" s="1781">
        <v>0</v>
      </c>
    </row>
    <row customHeight="1" ht="23.25" hidden="1">
      <c r="A4" s="1989"/>
      <c r="B4" s="1989"/>
      <c r="C4" s="1989"/>
      <c r="D4" s="1989"/>
      <c r="E4" s="2885"/>
      <c r="F4" s="2885"/>
      <c r="G4" s="2884">
        <v>1</v>
      </c>
      <c r="H4" s="1989"/>
      <c r="I4" s="1989"/>
      <c r="J4" s="1989"/>
      <c r="K4" s="1989"/>
      <c r="L4" s="1990"/>
      <c r="M4" s="1991"/>
      <c r="N4" s="1991"/>
      <c r="O4" s="1991"/>
      <c r="P4" s="980"/>
      <c r="Q4" s="978"/>
      <c r="R4" s="979"/>
      <c r="S4" s="2051">
        <f>INDEX(PT_DIFFERENTIATION_NUM_CS,MATCH(C4,PT_DIFFERENTIATION_CS_ID,0))</f>
      </c>
      <c r="T4" s="935" t="s">
        <v>499</v>
      </c>
      <c r="U4" s="926"/>
      <c r="V4" s="2868"/>
      <c r="W4" s="2869"/>
      <c r="X4" s="2869"/>
      <c r="Y4" s="2869"/>
      <c r="Z4" s="2869"/>
      <c r="AA4" s="2869"/>
      <c r="AB4" s="2870"/>
      <c r="AC4" s="2868">
        <f>INDEX(PT_DIFFERENTIATION_CS,MATCH(C4,PT_DIFFERENTIATION_CS_ID,0))</f>
      </c>
      <c r="AD4" s="2869"/>
      <c r="AE4" s="2869"/>
      <c r="AF4" s="2869"/>
      <c r="AG4" s="2869"/>
      <c r="AH4" s="2869"/>
      <c r="AI4" s="2869"/>
      <c r="AJ4" s="2870"/>
      <c r="AK4" s="1884" t="s">
        <v>500</v>
      </c>
      <c r="AM4" s="1126"/>
      <c r="AN4" s="1126" t="str">
        <f>IF(T4="","",T4)</f>
        <v>Наименование централизованной системы холодного водоснабжения</v>
      </c>
      <c r="AO4" s="1126"/>
      <c r="AP4" s="1126"/>
      <c r="AQ4" s="1781">
        <v>0</v>
      </c>
    </row>
    <row customHeight="1" ht="23.25" hidden="1">
      <c r="A5" s="1989"/>
      <c r="B5" s="1989"/>
      <c r="C5" s="1989"/>
      <c r="D5" s="1989"/>
      <c r="E5" s="2885"/>
      <c r="F5" s="2885"/>
      <c r="G5" s="2885"/>
      <c r="H5" s="2885"/>
      <c r="I5" s="2882">
        <f>S4&amp;".1"</f>
      </c>
      <c r="J5" s="1989"/>
      <c r="K5" s="1989"/>
      <c r="L5" s="1990"/>
      <c r="P5" s="2883">
        <v>1</v>
      </c>
      <c r="Q5" s="2048"/>
      <c r="R5" s="982"/>
      <c r="S5" s="2051">
        <f>$I5</f>
      </c>
      <c r="T5" s="911" t="s">
        <v>501</v>
      </c>
      <c r="U5" s="926"/>
      <c r="V5" s="2976"/>
      <c r="W5" s="2977"/>
      <c r="X5" s="2977"/>
      <c r="Y5" s="2977"/>
      <c r="Z5" s="2977"/>
      <c r="AA5" s="2977"/>
      <c r="AB5" s="2978"/>
      <c r="AC5" s="2979"/>
      <c r="AD5" s="2980"/>
      <c r="AE5" s="2980"/>
      <c r="AF5" s="2980"/>
      <c r="AG5" s="2980"/>
      <c r="AH5" s="2980"/>
      <c r="AI5" s="2980"/>
      <c r="AJ5" s="2981"/>
      <c r="AK5" s="1884" t="s">
        <v>502</v>
      </c>
      <c r="AM5" s="1126"/>
      <c r="AN5" s="1126" t="str">
        <f>IF(T5="","",T5)</f>
        <v>Наименование признака дифференциации</v>
      </c>
      <c r="AO5" s="1126"/>
      <c r="AP5" s="1126"/>
      <c r="AQ5" s="1781">
        <v>0</v>
      </c>
    </row>
    <row customHeight="1" ht="23.25" hidden="1">
      <c r="A6" s="1989"/>
      <c r="B6" s="1989"/>
      <c r="C6" s="1989"/>
      <c r="D6" s="1989"/>
      <c r="E6" s="2885"/>
      <c r="F6" s="2885"/>
      <c r="G6" s="2885"/>
      <c r="H6" s="2885"/>
      <c r="I6" s="2912"/>
      <c r="J6" s="2882">
        <f>I5&amp;".1"</f>
      </c>
      <c r="K6" s="1989"/>
      <c r="L6" s="1990" t="s">
        <v>424</v>
      </c>
      <c r="P6" s="2883"/>
      <c r="Q6" s="2883">
        <v>1</v>
      </c>
      <c r="R6" s="983"/>
      <c r="S6" s="2051">
        <f>$J6</f>
      </c>
      <c r="T6" s="912" t="s">
        <v>425</v>
      </c>
      <c r="U6" s="926"/>
      <c r="V6" s="2871"/>
      <c r="W6" s="2872"/>
      <c r="X6" s="2872"/>
      <c r="Y6" s="2872"/>
      <c r="Z6" s="2872"/>
      <c r="AA6" s="2872"/>
      <c r="AB6" s="2873"/>
      <c r="AC6" s="2871"/>
      <c r="AD6" s="2872"/>
      <c r="AE6" s="2872"/>
      <c r="AF6" s="2872"/>
      <c r="AG6" s="2872"/>
      <c r="AH6" s="2872"/>
      <c r="AI6" s="2872"/>
      <c r="AJ6" s="2873"/>
      <c r="AK6" s="1933" t="s">
        <v>503</v>
      </c>
      <c r="AM6" s="1126"/>
      <c r="AN6" s="1126" t="str">
        <f>IF(T6="","",T6)</f>
        <v>Группа потребителей</v>
      </c>
      <c r="AO6" s="1126"/>
      <c r="AP6" s="1126"/>
      <c r="AQ6" s="1781">
        <v>0</v>
      </c>
    </row>
    <row customHeight="1" ht="23.25" hidden="1">
      <c r="A7" s="1989"/>
      <c r="B7" s="1989"/>
      <c r="C7" s="1989"/>
      <c r="D7" s="1989"/>
      <c r="E7" s="2885"/>
      <c r="F7" s="2885"/>
      <c r="G7" s="2885"/>
      <c r="H7" s="2885"/>
      <c r="I7" s="2912"/>
      <c r="J7" s="2912"/>
      <c r="K7" s="2882">
        <f>J6&amp;".1"</f>
      </c>
      <c r="L7" s="1990"/>
      <c r="P7" s="2883"/>
      <c r="Q7" s="2883"/>
      <c r="R7" s="983">
        <v>1</v>
      </c>
      <c r="S7" s="2051">
        <f>$K7</f>
      </c>
      <c r="T7" s="2063"/>
      <c r="U7" s="926"/>
      <c r="V7" s="1377"/>
      <c r="W7" s="1377"/>
      <c r="X7" s="1883"/>
      <c r="Y7" s="2891"/>
      <c r="Z7" s="2733" t="s">
        <v>66</v>
      </c>
      <c r="AA7" s="2891"/>
      <c r="AB7" s="2733" t="s">
        <v>66</v>
      </c>
      <c r="AC7" s="1377"/>
      <c r="AD7" s="1377"/>
      <c r="AE7" s="1883"/>
      <c r="AF7" s="2891"/>
      <c r="AG7" s="2733" t="s">
        <v>66</v>
      </c>
      <c r="AH7" s="2913"/>
      <c r="AI7" s="2733" t="s">
        <v>66</v>
      </c>
      <c r="AJ7" s="2064"/>
      <c r="AK7"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37">
        <f>STRCHECKDATE(V8:AJ8)</f>
      </c>
      <c r="AM7" s="1126"/>
      <c r="AN7" s="1126" t="str">
        <f>IF(T7="","",T7)</f>
        <v/>
      </c>
      <c r="AO7" s="1126"/>
      <c r="AP7" s="1126"/>
      <c r="AQ7" s="1781">
        <v>0</v>
      </c>
    </row>
    <row customHeight="1" ht="14.25" hidden="1">
      <c r="A8" s="1989"/>
      <c r="B8" s="1989"/>
      <c r="C8" s="1989"/>
      <c r="D8" s="1989"/>
      <c r="E8" s="2885"/>
      <c r="F8" s="2885"/>
      <c r="G8" s="2885"/>
      <c r="H8" s="2885"/>
      <c r="I8" s="2912"/>
      <c r="J8" s="2912"/>
      <c r="K8" s="2882"/>
      <c r="L8" s="1990"/>
      <c r="P8" s="2883"/>
      <c r="Q8" s="2883"/>
      <c r="R8" s="983"/>
      <c r="S8" s="2050"/>
      <c r="T8" s="926"/>
      <c r="U8" s="926"/>
      <c r="V8" s="951"/>
      <c r="W8" s="951"/>
      <c r="X8" s="954" t="str">
        <f>Y7&amp;"-"&amp;AA7</f>
        <v>-</v>
      </c>
      <c r="Y8" s="2892"/>
      <c r="Z8" s="2733"/>
      <c r="AA8" s="2892"/>
      <c r="AB8" s="2733"/>
      <c r="AC8" s="951"/>
      <c r="AD8" s="951"/>
      <c r="AE8" s="954" t="str">
        <f>AF7&amp;"-"&amp;AH7</f>
        <v>-</v>
      </c>
      <c r="AF8" s="2892"/>
      <c r="AG8" s="2733"/>
      <c r="AH8" s="2914"/>
      <c r="AI8" s="2733"/>
      <c r="AJ8" s="2065"/>
      <c r="AK8" s="2975"/>
      <c r="AM8" s="1126"/>
      <c r="AN8" s="1126" t="str">
        <f>IF(T8="","",T8)</f>
        <v/>
      </c>
      <c r="AO8" s="1126"/>
      <c r="AP8" s="1126"/>
      <c r="AQ8" s="1781">
        <v>0</v>
      </c>
    </row>
    <row customHeight="1" ht="21" hidden="1">
      <c r="A9" s="1989"/>
      <c r="B9" s="1989"/>
      <c r="C9" s="1989"/>
      <c r="D9" s="1989"/>
      <c r="E9" s="2885"/>
      <c r="F9" s="2885"/>
      <c r="G9" s="2885"/>
      <c r="H9" s="2885"/>
      <c r="I9" s="2912"/>
      <c r="J9" s="2882"/>
      <c r="K9" s="1989"/>
      <c r="L9" s="1990"/>
      <c r="P9" s="2883"/>
      <c r="Q9" s="2883"/>
      <c r="R9" s="982"/>
      <c r="S9" s="1904"/>
      <c r="T9" s="913" t="s">
        <v>504</v>
      </c>
      <c r="U9" s="993"/>
      <c r="V9" s="993"/>
      <c r="W9" s="993"/>
      <c r="X9" s="993"/>
      <c r="Y9" s="993"/>
      <c r="Z9" s="993"/>
      <c r="AA9" s="993"/>
      <c r="AB9" s="993"/>
      <c r="AC9" s="993"/>
      <c r="AD9" s="993"/>
      <c r="AE9" s="993"/>
      <c r="AF9" s="993"/>
      <c r="AG9" s="993"/>
      <c r="AH9" s="993"/>
      <c r="AI9" s="993"/>
      <c r="AJ9" s="993"/>
      <c r="AK9" s="1884" t="s">
        <v>505</v>
      </c>
      <c r="AM9" s="1126"/>
      <c r="AN9" s="1126" t="str">
        <f>IF(T9="","",T9)</f>
        <v>Добавить значение признака дифференциации</v>
      </c>
      <c r="AO9" s="1126"/>
      <c r="AP9" s="1126"/>
      <c r="AQ9" s="1781">
        <v>0</v>
      </c>
    </row>
    <row customHeight="1" ht="21" hidden="1">
      <c r="A10" s="1989"/>
      <c r="B10" s="1989"/>
      <c r="C10" s="1989"/>
      <c r="D10" s="1989"/>
      <c r="E10" s="2885"/>
      <c r="F10" s="2885"/>
      <c r="G10" s="2885"/>
      <c r="H10" s="2885"/>
      <c r="I10" s="2882"/>
      <c r="J10" s="1989"/>
      <c r="K10" s="1989"/>
      <c r="L10" s="1990"/>
      <c r="P10" s="2883"/>
      <c r="Q10" s="2048"/>
      <c r="R10" s="982"/>
      <c r="S10" s="1904"/>
      <c r="T10" s="991" t="s">
        <v>430</v>
      </c>
      <c r="U10" s="993"/>
      <c r="V10" s="993"/>
      <c r="W10" s="993"/>
      <c r="X10" s="993"/>
      <c r="Y10" s="993"/>
      <c r="Z10" s="993"/>
      <c r="AA10" s="993"/>
      <c r="AB10" s="992"/>
      <c r="AC10" s="993"/>
      <c r="AD10" s="993"/>
      <c r="AE10" s="993"/>
      <c r="AF10" s="993"/>
      <c r="AG10" s="993"/>
      <c r="AH10" s="993"/>
      <c r="AI10" s="992"/>
      <c r="AJ10" s="993"/>
      <c r="AK10" s="2066"/>
      <c r="AM10" s="1126"/>
      <c r="AN10" s="1126" t="str">
        <f>IF(T10="","",T10)</f>
        <v>Добавить группу потребителей</v>
      </c>
      <c r="AO10" s="1126"/>
      <c r="AP10" s="1126"/>
      <c r="AQ10" s="1781">
        <v>0</v>
      </c>
    </row>
    <row customHeight="1" ht="14.25" hidden="1">
      <c r="A11" s="1989"/>
      <c r="B11" s="1989"/>
      <c r="C11" s="1989"/>
      <c r="D11" s="1989"/>
      <c r="E11" s="2885"/>
      <c r="F11" s="2885"/>
      <c r="G11" s="2885"/>
      <c r="H11" s="2884"/>
      <c r="I11" s="1989"/>
      <c r="J11" s="1989"/>
      <c r="K11" s="1989"/>
      <c r="L11" s="1990"/>
      <c r="M11" s="1991"/>
      <c r="N11" s="1991"/>
      <c r="O11" s="1163"/>
      <c r="P11" s="986"/>
      <c r="Q11" s="1001"/>
      <c r="R11" s="981"/>
      <c r="S11" s="1904"/>
      <c r="T11" s="998" t="s">
        <v>506</v>
      </c>
      <c r="U11" s="993"/>
      <c r="V11" s="993"/>
      <c r="W11" s="993"/>
      <c r="X11" s="993"/>
      <c r="Y11" s="993"/>
      <c r="Z11" s="993"/>
      <c r="AA11" s="993"/>
      <c r="AB11" s="992"/>
      <c r="AC11" s="993"/>
      <c r="AD11" s="993"/>
      <c r="AE11" s="993"/>
      <c r="AF11" s="993"/>
      <c r="AG11" s="993"/>
      <c r="AH11" s="993"/>
      <c r="AI11" s="992"/>
      <c r="AJ11" s="993"/>
      <c r="AK11" s="929"/>
      <c r="AM11" s="1126"/>
      <c r="AN11" s="1126" t="str">
        <f>IF(T11="","",T11)</f>
        <v>Добавить наименование признака дифференциации</v>
      </c>
      <c r="AO11" s="1126"/>
      <c r="AP11" s="1126"/>
      <c r="AQ11" s="1781">
        <v>0</v>
      </c>
    </row>
    <row s="34658" customFormat="1" customHeight="1" ht="14.25" hidden="1">
      <c r="A12" s="1969"/>
      <c r="B12" s="1969"/>
      <c r="C12" s="1940"/>
      <c r="D12" s="1940"/>
      <c r="E12" s="2885"/>
      <c r="F12" s="2884"/>
      <c r="G12" s="1940"/>
      <c r="H12" s="1940"/>
      <c r="I12" s="1940"/>
      <c r="J12" s="1940"/>
      <c r="K12" s="1940"/>
      <c r="L12" s="2052"/>
      <c r="M12" s="1947"/>
      <c r="N12" s="1947"/>
      <c r="P12" s="1942"/>
      <c r="Q12" s="1943"/>
      <c r="R12" s="1942"/>
      <c r="S12" s="1948"/>
      <c r="T12" s="1951" t="s">
        <v>433</v>
      </c>
      <c r="U12" s="1950"/>
      <c r="V12" s="1950"/>
      <c r="W12" s="1950"/>
      <c r="X12" s="1950"/>
      <c r="Y12" s="1950"/>
      <c r="Z12" s="1950"/>
      <c r="AA12" s="1950"/>
      <c r="AB12" s="1950"/>
      <c r="AC12" s="1950"/>
      <c r="AD12" s="1950"/>
      <c r="AE12" s="1950"/>
      <c r="AF12" s="1950"/>
      <c r="AG12" s="1950"/>
      <c r="AH12" s="1950"/>
      <c r="AI12" s="1950"/>
      <c r="AJ12" s="1950"/>
      <c r="AK12" s="1950"/>
      <c r="AM12" s="1415"/>
      <c r="AN12" s="1415" t="str">
        <f>IF(T12="","",T12)</f>
        <v>Добавить централизованную систему для дифференциации</v>
      </c>
      <c r="AO12" s="1415"/>
      <c r="AP12" s="1415"/>
      <c r="AQ12" s="1144">
        <v>0</v>
      </c>
    </row>
    <row s="34658" customFormat="1" customHeight="1" ht="14.25" hidden="1">
      <c r="A13" s="1969"/>
      <c r="B13" s="1969"/>
      <c r="C13" s="1969"/>
      <c r="D13" s="1969"/>
      <c r="E13" s="2884"/>
      <c r="F13" s="1969"/>
      <c r="G13" s="1969"/>
      <c r="H13" s="1969"/>
      <c r="I13" s="1969"/>
      <c r="J13" s="1969"/>
      <c r="K13" s="1969"/>
      <c r="L13" s="1972"/>
      <c r="M13" s="1947"/>
      <c r="N13" s="1947"/>
      <c r="O13" s="1144"/>
      <c r="P13" s="1006"/>
      <c r="Q13" s="1970"/>
      <c r="R13" s="1006"/>
      <c r="S13" s="1948"/>
      <c r="T13" s="1951" t="s">
        <v>434</v>
      </c>
      <c r="U13" s="1950"/>
      <c r="V13" s="1950"/>
      <c r="W13" s="1950"/>
      <c r="X13" s="1950"/>
      <c r="Y13" s="1950"/>
      <c r="Z13" s="1950"/>
      <c r="AA13" s="1950"/>
      <c r="AB13" s="1950"/>
      <c r="AC13" s="1950"/>
      <c r="AD13" s="1950"/>
      <c r="AE13" s="1950"/>
      <c r="AF13" s="1950"/>
      <c r="AG13" s="1950"/>
      <c r="AH13" s="1950"/>
      <c r="AI13" s="1950"/>
      <c r="AJ13" s="1950"/>
      <c r="AK13" s="1950"/>
      <c r="AM13" s="1126"/>
      <c r="AN13" s="1126" t="str">
        <f>IF(T13="","",T13)</f>
        <v>Добавить территорию для дифференциации</v>
      </c>
      <c r="AO13" s="1126"/>
      <c r="AP13" s="1126"/>
      <c r="AQ13" s="1137">
        <v>0</v>
      </c>
    </row>
    <row customHeight="1" ht="14.25" hidden="1">
      <c r="AB14" s="953"/>
      <c r="AI14" s="953"/>
      <c r="AQ14" s="1781">
        <v>0</v>
      </c>
    </row>
    <row customHeight="1" ht="14.25" hidden="1">
      <c r="AC15" s="1986"/>
      <c r="AD15" s="1986"/>
      <c r="AE15" s="1987"/>
      <c r="AF15" s="2893"/>
      <c r="AG15" s="2894" t="s">
        <v>66</v>
      </c>
      <c r="AH15" s="2893"/>
      <c r="AI15" s="2894" t="s">
        <v>66</v>
      </c>
      <c r="AQ15" s="1781">
        <v>0</v>
      </c>
    </row>
    <row customHeight="1" ht="14.25" hidden="1">
      <c r="AC16" s="1986"/>
      <c r="AD16" s="1986"/>
      <c r="AE16" s="954" t="str">
        <f>AF15&amp;"-"&amp;AH15</f>
        <v>-</v>
      </c>
      <c r="AF16" s="2894"/>
      <c r="AG16" s="2894"/>
      <c r="AH16" s="2894"/>
      <c r="AI16" s="2894"/>
      <c r="AQ16" s="1781">
        <v>0</v>
      </c>
    </row>
    <row customHeight="1" ht="14.25" hidden="1">
      <c r="AI17" s="953"/>
      <c r="AQ17" s="1781">
        <v>0</v>
      </c>
    </row>
    <row s="34657" customFormat="1" customHeight="1" ht="22.5" hidden="1">
      <c r="L18" s="2047"/>
      <c r="M18" s="1988"/>
      <c r="N18" s="1988"/>
      <c r="O18" s="1993" t="s">
        <v>435</v>
      </c>
      <c r="P18" s="1988"/>
      <c r="Q18" s="1997"/>
      <c r="R18" s="1997"/>
      <c r="S18" s="1355"/>
      <c r="Y18" s="1993"/>
      <c r="AA18" s="1993"/>
      <c r="AB18" s="1992"/>
      <c r="AF18" s="1993"/>
      <c r="AH18" s="1993"/>
      <c r="AI18" s="1992"/>
      <c r="AL18" s="1137"/>
      <c r="AM18" s="1137"/>
      <c r="AN18" s="1137"/>
      <c r="AO18" s="1137"/>
      <c r="AP18" s="1137"/>
      <c r="AQ18" s="1786">
        <v>0</v>
      </c>
    </row>
    <row s="34657" customFormat="1" customHeight="1" ht="14.25" hidden="1">
      <c r="L19" s="2047"/>
      <c r="M19" s="1988"/>
      <c r="N19" s="1988"/>
      <c r="O19" s="1988"/>
      <c r="P19" s="1988"/>
      <c r="Q19" s="1997"/>
      <c r="R19" s="1997"/>
      <c r="S19" s="1355"/>
      <c r="AB19" s="1992"/>
      <c r="AI19" s="1992"/>
      <c r="AL19" s="1137"/>
      <c r="AM19" s="1137"/>
      <c r="AN19" s="1137"/>
      <c r="AO19" s="1137"/>
      <c r="AP19" s="1137"/>
      <c r="AQ19" s="1786">
        <v>0</v>
      </c>
    </row>
    <row s="34657" customFormat="1" customHeight="1" ht="12" hidden="1">
      <c r="L20" s="2047"/>
      <c r="M20" s="1988"/>
      <c r="N20" s="1988"/>
      <c r="O20" s="1990" t="s">
        <v>436</v>
      </c>
      <c r="P20" s="1988"/>
      <c r="Q20" s="2068"/>
      <c r="R20" s="2068"/>
      <c r="S20" s="1355"/>
      <c r="T20" s="1786" t="s">
        <v>437</v>
      </c>
      <c r="Z20" s="812" t="s">
        <v>438</v>
      </c>
      <c r="AB20" s="812" t="s">
        <v>439</v>
      </c>
      <c r="AC20" s="1786" t="s">
        <v>437</v>
      </c>
      <c r="AG20" s="812" t="s">
        <v>440</v>
      </c>
      <c r="AI20" s="812" t="s">
        <v>439</v>
      </c>
      <c r="AQ20" s="1786">
        <v>0</v>
      </c>
    </row>
    <row customHeight="1" ht="14.25" hidden="1">
      <c r="O21" s="1990"/>
      <c r="AQ21" s="1781">
        <v>0</v>
      </c>
    </row>
    <row customHeight="1" ht="14.25" hidden="1">
      <c r="O22" s="1990"/>
      <c r="AQ22" s="1781">
        <v>0</v>
      </c>
    </row>
    <row customHeight="1" ht="14.699999999999998">
      <c r="Q23" s="1002"/>
      <c r="R23" s="1002"/>
      <c r="S23" s="1901"/>
      <c r="T23" s="989"/>
      <c r="U23" s="989"/>
      <c r="V23" s="1135"/>
      <c r="W23" s="1135"/>
      <c r="X23" s="1135"/>
      <c r="Y23" s="1135"/>
      <c r="Z23" s="1135"/>
      <c r="AA23" s="1135"/>
      <c r="AB23" s="1135"/>
      <c r="AC23" s="1135"/>
      <c r="AD23" s="1135"/>
      <c r="AE23" s="1135"/>
      <c r="AF23" s="1135"/>
      <c r="AG23" s="1135"/>
      <c r="AH23" s="1135"/>
      <c r="AI23" s="1135"/>
      <c r="AQ23" s="1781">
        <v>14</v>
      </c>
    </row>
    <row customHeight="1" ht="14.699999999999998">
      <c r="Q24" s="1002"/>
      <c r="R24" s="1002"/>
      <c r="S24" s="28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4"/>
      <c r="U24" s="2874"/>
      <c r="V24" s="2874"/>
      <c r="W24" s="2874"/>
      <c r="X24" s="2874"/>
      <c r="Y24" s="2874"/>
      <c r="Z24" s="2874"/>
      <c r="AA24" s="2874"/>
      <c r="AB24" s="2874"/>
      <c r="AC24" s="2874"/>
      <c r="AD24" s="2874"/>
      <c r="AE24" s="2874"/>
      <c r="AF24" s="2874"/>
      <c r="AG24" s="2874"/>
      <c r="AH24" s="2874"/>
      <c r="AI24" s="1869"/>
      <c r="AQ24" s="1781">
        <v>14</v>
      </c>
    </row>
    <row customHeight="1" ht="14.699999999999998">
      <c r="Q25" s="1002"/>
      <c r="R25" s="1002"/>
      <c r="S25" s="2875" t="str">
        <f>IF(org=0,"Не определено",org)</f>
        <v>АО "ДГК"</v>
      </c>
      <c r="T25" s="2875"/>
      <c r="U25" s="2875"/>
      <c r="V25" s="2875"/>
      <c r="W25" s="2875"/>
      <c r="X25" s="2875"/>
      <c r="Y25" s="2875"/>
      <c r="Z25" s="2875"/>
      <c r="AA25" s="2875"/>
      <c r="AB25" s="2875"/>
      <c r="AC25" s="2875"/>
      <c r="AD25" s="2875"/>
      <c r="AE25" s="2875"/>
      <c r="AF25" s="2875"/>
      <c r="AG25" s="2875"/>
      <c r="AH25" s="2875"/>
      <c r="AI25" s="1869"/>
      <c r="AQ25" s="1781">
        <v>14</v>
      </c>
    </row>
    <row customHeight="1" ht="14.25" hidden="1">
      <c r="Q26" s="1002"/>
      <c r="R26" s="1002"/>
      <c r="S26" s="1901"/>
      <c r="T26" s="989"/>
      <c r="U26" s="989"/>
      <c r="V26" s="948"/>
      <c r="W26" s="948"/>
      <c r="X26" s="948"/>
      <c r="Y26" s="948"/>
      <c r="Z26" s="948"/>
      <c r="AA26" s="948"/>
      <c r="AB26" s="948"/>
      <c r="AC26" s="948"/>
      <c r="AD26" s="948"/>
      <c r="AE26" s="948"/>
      <c r="AF26" s="948"/>
      <c r="AG26" s="948"/>
      <c r="AH26" s="948"/>
      <c r="AI26" s="948"/>
      <c r="AJ26" s="1135"/>
      <c r="AQ26" s="1781">
        <v>0</v>
      </c>
    </row>
    <row s="34794" customFormat="1" customHeight="1" ht="25.5" hidden="1">
      <c r="A27" s="1994"/>
      <c r="B27" s="1994"/>
      <c r="C27" s="1994"/>
      <c r="D27" s="1994"/>
      <c r="E27" s="1994"/>
      <c r="F27" s="1994"/>
      <c r="G27" s="1994"/>
      <c r="H27" s="1994"/>
      <c r="I27" s="1994"/>
      <c r="J27" s="1994"/>
      <c r="K27" s="1994"/>
      <c r="L27" s="1995"/>
      <c r="M27" s="1994"/>
      <c r="N27" s="1994"/>
      <c r="O27" s="1994"/>
      <c r="S27" s="2876" t="s">
        <v>42</v>
      </c>
      <c r="T27" s="2876"/>
      <c r="U27" s="1998"/>
      <c r="V27" s="2877" t="str">
        <f>IF(TITLE_NAME_OR_PR_CHANGE="",IF(TITLE_NAME_OR_PR="","",TITLE_NAME_OR_PR),TITLE_NAME_OR_PR_CHANGE)</f>
        <v/>
      </c>
      <c r="W27" s="2877"/>
      <c r="X27" s="2877"/>
      <c r="Y27" s="2877"/>
      <c r="Z27" s="2877"/>
      <c r="AA27" s="2877"/>
      <c r="AB27" s="952"/>
      <c r="AC27" s="2877" t="str">
        <f>IF(TITLE_NAME_OR_PR_CHANGE="",IF(TITLE_NAME_OR_PR="","",TITLE_NAME_OR_PR),TITLE_NAME_OR_PR_CHANGE)</f>
        <v/>
      </c>
      <c r="AD27" s="2877"/>
      <c r="AE27" s="2877"/>
      <c r="AF27" s="2877"/>
      <c r="AG27" s="2877"/>
      <c r="AH27" s="2877"/>
      <c r="AI27" s="952"/>
      <c r="AJ27" s="952"/>
      <c r="AK27" s="906"/>
      <c r="AL27" s="994"/>
      <c r="AM27" s="994"/>
      <c r="AN27" s="994"/>
      <c r="AO27" s="994"/>
      <c r="AP27" s="994"/>
      <c r="AQ27" s="1044">
        <v>0</v>
      </c>
    </row>
    <row s="34794" customFormat="1" customHeight="1" ht="18.75" hidden="1">
      <c r="A28" s="1994"/>
      <c r="B28" s="1994"/>
      <c r="C28" s="1994"/>
      <c r="D28" s="1994"/>
      <c r="E28" s="1994"/>
      <c r="F28" s="1994"/>
      <c r="G28" s="1994"/>
      <c r="H28" s="1994"/>
      <c r="I28" s="1994"/>
      <c r="J28" s="1994"/>
      <c r="K28" s="1994"/>
      <c r="L28" s="1995"/>
      <c r="M28" s="1994"/>
      <c r="N28" s="1994"/>
      <c r="O28" s="1994"/>
      <c r="S28" s="2876" t="s">
        <v>441</v>
      </c>
      <c r="T28" s="2876"/>
      <c r="U28" s="1998"/>
      <c r="V28" s="2890" t="str">
        <f>IF(TITLE_DATE_PR_CHANGE="",IF(TITLE_DATE_PR="","",TITLE_DATE_PR),TITLE_DATE_PR_CHANGE)</f>
        <v/>
      </c>
      <c r="W28" s="2890"/>
      <c r="X28" s="2890"/>
      <c r="Y28" s="2890"/>
      <c r="Z28" s="2890"/>
      <c r="AA28" s="2890"/>
      <c r="AB28" s="952"/>
      <c r="AC28" s="2890" t="str">
        <f>IF(TITLE_DATE_PR_CHANGE="",IF(TITLE_DATE_PR="","",TITLE_DATE_PR),TITLE_DATE_PR_CHANGE)</f>
        <v/>
      </c>
      <c r="AD28" s="2890"/>
      <c r="AE28" s="2890"/>
      <c r="AF28" s="2890"/>
      <c r="AG28" s="2890"/>
      <c r="AH28" s="2890"/>
      <c r="AI28" s="952"/>
      <c r="AJ28" s="952"/>
      <c r="AK28" s="906"/>
      <c r="AL28" s="994"/>
      <c r="AM28" s="994"/>
      <c r="AN28" s="994"/>
      <c r="AO28" s="994"/>
      <c r="AP28" s="994"/>
      <c r="AQ28" s="1044">
        <v>0</v>
      </c>
    </row>
    <row s="34794" customFormat="1" customHeight="1" ht="18.75" hidden="1">
      <c r="A29" s="1994"/>
      <c r="B29" s="1994"/>
      <c r="C29" s="1994"/>
      <c r="D29" s="1994"/>
      <c r="E29" s="1994"/>
      <c r="F29" s="1994"/>
      <c r="G29" s="1994"/>
      <c r="H29" s="1994"/>
      <c r="I29" s="1994"/>
      <c r="J29" s="1994"/>
      <c r="K29" s="1994"/>
      <c r="L29" s="1995"/>
      <c r="M29" s="1994"/>
      <c r="N29" s="1994"/>
      <c r="O29" s="1994"/>
      <c r="S29" s="2876" t="s">
        <v>442</v>
      </c>
      <c r="T29" s="2876"/>
      <c r="U29" s="1998"/>
      <c r="V29" s="2877" t="str">
        <f>IF(TITLE_NUMBER_PR_CHANGE="",IF(TITLE_NUMBER_PR="","",TITLE_NUMBER_PR),TITLE_NUMBER_PR_CHANGE)</f>
        <v/>
      </c>
      <c r="W29" s="2877"/>
      <c r="X29" s="2877"/>
      <c r="Y29" s="2877"/>
      <c r="Z29" s="2877"/>
      <c r="AA29" s="2877"/>
      <c r="AB29" s="952"/>
      <c r="AC29" s="2877" t="str">
        <f>IF(TITLE_NUMBER_PR_CHANGE="",IF(TITLE_NUMBER_PR="","",TITLE_NUMBER_PR),TITLE_NUMBER_PR_CHANGE)</f>
        <v/>
      </c>
      <c r="AD29" s="2877"/>
      <c r="AE29" s="2877"/>
      <c r="AF29" s="2877"/>
      <c r="AG29" s="2877"/>
      <c r="AH29" s="2877"/>
      <c r="AI29" s="952"/>
      <c r="AJ29" s="952"/>
      <c r="AK29" s="906"/>
      <c r="AL29" s="994"/>
      <c r="AM29" s="994"/>
      <c r="AN29" s="994"/>
      <c r="AO29" s="994"/>
      <c r="AP29" s="994"/>
      <c r="AQ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43</v>
      </c>
      <c r="T30" s="2876"/>
      <c r="U30" s="1998"/>
      <c r="V30" s="2877" t="str">
        <f>IF(TITLE_IST_PUB_CHANGE="",IF(TITLE_IST_PUB="","",TITLE_IST_PUB),TITLE_IST_PUB_CHANGE)</f>
        <v/>
      </c>
      <c r="W30" s="2877"/>
      <c r="X30" s="2877"/>
      <c r="Y30" s="2877"/>
      <c r="Z30" s="2877"/>
      <c r="AA30" s="2877"/>
      <c r="AB30" s="952"/>
      <c r="AC30" s="2877" t="str">
        <f>IF(TITLE_IST_PUB_CHANGE="",IF(TITLE_IST_PUB="","",TITLE_IST_PUB),TITLE_IST_PUB_CHANGE)</f>
        <v/>
      </c>
      <c r="AD30" s="2877"/>
      <c r="AE30" s="2877"/>
      <c r="AF30" s="2877"/>
      <c r="AG30" s="2877"/>
      <c r="AH30" s="2877"/>
      <c r="AI30" s="952"/>
      <c r="AJ30" s="952"/>
      <c r="AK30" s="906"/>
      <c r="AL30" s="994"/>
      <c r="AM30" s="994"/>
      <c r="AN30" s="994"/>
      <c r="AO30" s="994"/>
      <c r="AP30" s="994"/>
      <c r="AQ30" s="1044">
        <v>0</v>
      </c>
    </row>
    <row customHeight="1" ht="14.25" hidden="1">
      <c r="Q31" s="1002"/>
      <c r="R31" s="1002"/>
      <c r="S31" s="1901"/>
      <c r="T31" s="989"/>
      <c r="U31" s="989"/>
      <c r="V31" s="948"/>
      <c r="W31" s="948"/>
      <c r="X31" s="948"/>
      <c r="Y31" s="948"/>
      <c r="Z31" s="948"/>
      <c r="AA31" s="948"/>
      <c r="AB31" s="948"/>
      <c r="AC31" s="948"/>
      <c r="AD31" s="948"/>
      <c r="AE31" s="948"/>
      <c r="AF31" s="948"/>
      <c r="AG31" s="948"/>
      <c r="AH31" s="948"/>
      <c r="AI31" s="948"/>
      <c r="AJ31" s="1135"/>
      <c r="AQ31" s="1781">
        <v>0</v>
      </c>
    </row>
    <row s="34794" customFormat="1" customHeight="1" ht="18.75" hidden="1">
      <c r="A32" s="1994"/>
      <c r="B32" s="1994"/>
      <c r="C32" s="1994"/>
      <c r="D32" s="1994"/>
      <c r="E32" s="1994"/>
      <c r="F32" s="1994"/>
      <c r="G32" s="1994"/>
      <c r="H32" s="1994"/>
      <c r="I32" s="1994"/>
      <c r="J32" s="1994"/>
      <c r="K32" s="1994"/>
      <c r="L32" s="1995"/>
      <c r="M32" s="1994"/>
      <c r="N32" s="1994"/>
      <c r="O32" s="1994"/>
      <c r="S32" s="2876" t="s">
        <v>443</v>
      </c>
      <c r="T32" s="2876"/>
      <c r="U32" s="1998"/>
      <c r="V32" s="2890" t="str">
        <f>IF(TITLE_DATE_PR_CHANGE="",IF(TITLE_DATE_PR="","",TITLE_DATE_PR),TITLE_DATE_PR_CHANGE)</f>
        <v/>
      </c>
      <c r="W32" s="2890"/>
      <c r="X32" s="2890"/>
      <c r="Y32" s="2890"/>
      <c r="Z32" s="2890"/>
      <c r="AA32" s="2890"/>
      <c r="AB32" s="952"/>
      <c r="AC32" s="2890" t="str">
        <f>IF(TITLE_DATE_PR_CHANGE="",IF(TITLE_DATE_PR="","",TITLE_DATE_PR),TITLE_DATE_PR_CHANGE)</f>
        <v/>
      </c>
      <c r="AD32" s="2890"/>
      <c r="AE32" s="2890"/>
      <c r="AF32" s="2890"/>
      <c r="AG32" s="2890"/>
      <c r="AH32" s="2890"/>
      <c r="AI32" s="952"/>
      <c r="AJ32" s="952"/>
      <c r="AK32" s="906"/>
      <c r="AL32" s="994"/>
      <c r="AM32" s="994"/>
      <c r="AN32" s="994"/>
      <c r="AO32" s="994"/>
      <c r="AP32" s="994"/>
      <c r="AQ32" s="1044">
        <v>0</v>
      </c>
    </row>
    <row s="34794" customFormat="1" customHeight="1" ht="18.75" hidden="1">
      <c r="A33" s="1994"/>
      <c r="B33" s="1994"/>
      <c r="C33" s="1994"/>
      <c r="D33" s="1994"/>
      <c r="E33" s="1994"/>
      <c r="F33" s="1994"/>
      <c r="G33" s="1994"/>
      <c r="H33" s="1994"/>
      <c r="I33" s="1994"/>
      <c r="J33" s="1994"/>
      <c r="K33" s="1994"/>
      <c r="L33" s="1995"/>
      <c r="M33" s="1994"/>
      <c r="N33" s="1994"/>
      <c r="O33" s="1994"/>
      <c r="S33" s="2876" t="s">
        <v>444</v>
      </c>
      <c r="T33" s="2876"/>
      <c r="U33" s="1998"/>
      <c r="V33" s="2877" t="str">
        <f>IF(TITLE_NUMBER_PR_CHANGE="",IF(TITLE_NUMBER_PR="","",TITLE_NUMBER_PR),TITLE_NUMBER_PR_CHANGE)</f>
        <v/>
      </c>
      <c r="W33" s="2877"/>
      <c r="X33" s="2877"/>
      <c r="Y33" s="2877"/>
      <c r="Z33" s="2877"/>
      <c r="AA33" s="2877"/>
      <c r="AB33" s="952"/>
      <c r="AC33" s="2877" t="str">
        <f>IF(TITLE_NUMBER_PR_CHANGE="",IF(TITLE_NUMBER_PR="","",TITLE_NUMBER_PR),TITLE_NUMBER_PR_CHANGE)</f>
        <v/>
      </c>
      <c r="AD33" s="2877"/>
      <c r="AE33" s="2877"/>
      <c r="AF33" s="2877"/>
      <c r="AG33" s="2877"/>
      <c r="AH33" s="2877"/>
      <c r="AI33" s="952"/>
      <c r="AJ33" s="952"/>
      <c r="AK33" s="906"/>
      <c r="AL33" s="994"/>
      <c r="AM33" s="994"/>
      <c r="AN33" s="994"/>
      <c r="AO33" s="994"/>
      <c r="AP33" s="994"/>
      <c r="AQ33" s="1044">
        <v>0</v>
      </c>
    </row>
    <row s="34794" customFormat="1" customHeight="1" ht="1.05">
      <c r="A34" s="1994"/>
      <c r="B34" s="1994"/>
      <c r="C34" s="1994"/>
      <c r="D34" s="1994"/>
      <c r="E34" s="1994"/>
      <c r="F34" s="1994"/>
      <c r="G34" s="1994"/>
      <c r="H34" s="1994"/>
      <c r="I34" s="1994"/>
      <c r="J34" s="1994"/>
      <c r="K34" s="1994"/>
      <c r="L34" s="1995"/>
      <c r="M34" s="1994"/>
      <c r="N34" s="1994"/>
      <c r="O34" s="1994"/>
      <c r="S34" s="949"/>
      <c r="T34" s="949"/>
      <c r="U34" s="1981"/>
      <c r="V34" s="952"/>
      <c r="W34" s="952"/>
      <c r="X34" s="952"/>
      <c r="Y34" s="952"/>
      <c r="Z34" s="952"/>
      <c r="AA34" s="952"/>
      <c r="AB34" s="904" t="s">
        <v>445</v>
      </c>
      <c r="AC34" s="952"/>
      <c r="AD34" s="952"/>
      <c r="AE34" s="952"/>
      <c r="AF34" s="952"/>
      <c r="AG34" s="952"/>
      <c r="AH34" s="952"/>
      <c r="AI34" s="904" t="s">
        <v>445</v>
      </c>
      <c r="AL34" s="994"/>
      <c r="AM34" s="994"/>
      <c r="AN34" s="994"/>
      <c r="AO34" s="994"/>
      <c r="AP34" s="994"/>
      <c r="AQ34" s="1044">
        <v>1</v>
      </c>
    </row>
    <row customHeight="1" ht="14.699999999999998">
      <c r="Q35" s="1002"/>
      <c r="R35" s="1002"/>
      <c r="S35" s="1901"/>
      <c r="T35" s="989"/>
      <c r="U35" s="1870"/>
      <c r="V35" s="2878"/>
      <c r="W35" s="2878"/>
      <c r="X35" s="2878"/>
      <c r="Y35" s="2878"/>
      <c r="Z35" s="2878"/>
      <c r="AA35" s="2878"/>
      <c r="AB35" s="2878"/>
      <c r="AC35" s="2878"/>
      <c r="AD35" s="2878"/>
      <c r="AE35" s="2878"/>
      <c r="AF35" s="2878"/>
      <c r="AG35" s="2878"/>
      <c r="AH35" s="2878"/>
      <c r="AI35" s="2878"/>
      <c r="AQ35" s="1781">
        <v>14</v>
      </c>
    </row>
    <row customHeight="1" ht="14.699999999999998">
      <c r="Q36" s="1002"/>
      <c r="R36" s="1002"/>
      <c r="S36" s="2753" t="s">
        <v>318</v>
      </c>
      <c r="T36" s="2753"/>
      <c r="U36" s="2753"/>
      <c r="V36" s="2753"/>
      <c r="W36" s="2753"/>
      <c r="X36" s="2753"/>
      <c r="Y36" s="2753"/>
      <c r="Z36" s="2753"/>
      <c r="AA36" s="2753"/>
      <c r="AB36" s="2753"/>
      <c r="AC36" s="2753"/>
      <c r="AD36" s="2753"/>
      <c r="AE36" s="2753"/>
      <c r="AF36" s="2753"/>
      <c r="AG36" s="2753"/>
      <c r="AH36" s="2753"/>
      <c r="AI36" s="2753"/>
      <c r="AJ36" s="2753"/>
      <c r="AK36" s="2753" t="s">
        <v>319</v>
      </c>
      <c r="AQ36" s="1781">
        <v>14</v>
      </c>
    </row>
    <row customHeight="1" ht="14.699999999999998">
      <c r="Q37" s="1002"/>
      <c r="R37" s="1002"/>
      <c r="S37" s="2899" t="s">
        <v>88</v>
      </c>
      <c r="T37" s="2835" t="s">
        <v>446</v>
      </c>
      <c r="U37" s="927"/>
      <c r="V37" s="2900" t="s">
        <v>447</v>
      </c>
      <c r="W37" s="2901"/>
      <c r="X37" s="2901"/>
      <c r="Y37" s="2901"/>
      <c r="Z37" s="2901"/>
      <c r="AA37" s="2902"/>
      <c r="AB37" s="2903" t="s">
        <v>448</v>
      </c>
      <c r="AC37" s="2900" t="s">
        <v>447</v>
      </c>
      <c r="AD37" s="2901"/>
      <c r="AE37" s="2901"/>
      <c r="AF37" s="2901"/>
      <c r="AG37" s="2901"/>
      <c r="AH37" s="2902"/>
      <c r="AI37" s="2903" t="s">
        <v>449</v>
      </c>
      <c r="AJ37" s="2906" t="s">
        <v>450</v>
      </c>
      <c r="AK37" s="2753"/>
      <c r="AQ37" s="1781">
        <v>14</v>
      </c>
    </row>
    <row customHeight="1" ht="35.699999999999996">
      <c r="Q38" s="1002"/>
      <c r="R38" s="1002"/>
      <c r="S38" s="2899"/>
      <c r="T38" s="2835"/>
      <c r="U38" s="1657"/>
      <c r="V38" s="1978" t="s">
        <v>507</v>
      </c>
      <c r="W38" s="2888" t="s">
        <v>453</v>
      </c>
      <c r="X38" s="2889"/>
      <c r="Y38" s="2888" t="s">
        <v>454</v>
      </c>
      <c r="Z38" s="2895"/>
      <c r="AA38" s="2889"/>
      <c r="AB38" s="2904"/>
      <c r="AC38" s="1978" t="s">
        <v>507</v>
      </c>
      <c r="AD38" s="2888" t="s">
        <v>453</v>
      </c>
      <c r="AE38" s="2889"/>
      <c r="AF38" s="2888" t="s">
        <v>454</v>
      </c>
      <c r="AG38" s="2895"/>
      <c r="AH38" s="2889"/>
      <c r="AI38" s="2904"/>
      <c r="AJ38" s="2907"/>
      <c r="AK38" s="2753"/>
      <c r="AQ38" s="1781">
        <v>34</v>
      </c>
    </row>
    <row customHeight="1" ht="35.699999999999996">
      <c r="A39" s="1996"/>
      <c r="B39" s="1996" t="s">
        <v>155</v>
      </c>
      <c r="C39" s="1996" t="s">
        <v>156</v>
      </c>
      <c r="D39" s="1996" t="s">
        <v>157</v>
      </c>
      <c r="E39" s="1990" t="s">
        <v>455</v>
      </c>
      <c r="F39" s="1990" t="s">
        <v>456</v>
      </c>
      <c r="G39" s="1990" t="s">
        <v>457</v>
      </c>
      <c r="H39" s="1990"/>
      <c r="I39" s="1990" t="s">
        <v>508</v>
      </c>
      <c r="J39" s="1990" t="s">
        <v>460</v>
      </c>
      <c r="K39" s="1990" t="s">
        <v>509</v>
      </c>
      <c r="L39" s="1990" t="s">
        <v>436</v>
      </c>
      <c r="Q39" s="1002"/>
      <c r="R39" s="1002"/>
      <c r="S39" s="2899"/>
      <c r="T39" s="2835"/>
      <c r="U39" s="928"/>
      <c r="V39" s="1978" t="s">
        <v>510</v>
      </c>
      <c r="W39" s="1848" t="s">
        <v>511</v>
      </c>
      <c r="X39" s="1848" t="s">
        <v>512</v>
      </c>
      <c r="Y39" s="1983" t="s">
        <v>464</v>
      </c>
      <c r="Z39" s="2896" t="s">
        <v>465</v>
      </c>
      <c r="AA39" s="2897"/>
      <c r="AB39" s="2905"/>
      <c r="AC39" s="1978" t="s">
        <v>510</v>
      </c>
      <c r="AD39" s="1848" t="s">
        <v>511</v>
      </c>
      <c r="AE39" s="1848" t="s">
        <v>512</v>
      </c>
      <c r="AF39" s="1983" t="s">
        <v>464</v>
      </c>
      <c r="AG39" s="2896" t="s">
        <v>465</v>
      </c>
      <c r="AH39" s="2897"/>
      <c r="AI39" s="2905"/>
      <c r="AJ39" s="2908"/>
      <c r="AK39" s="2753"/>
      <c r="AQ39" s="1781">
        <v>34</v>
      </c>
    </row>
    <row s="35197" customFormat="1" customHeight="1" ht="11.25" hidden="1">
      <c r="A40" s="1996"/>
      <c r="B40" s="1996"/>
      <c r="C40" s="1996"/>
      <c r="D40" s="1996"/>
      <c r="E40" s="1996"/>
      <c r="F40" s="1996"/>
      <c r="G40" s="1996"/>
      <c r="H40" s="1996"/>
      <c r="I40" s="1996"/>
      <c r="J40" s="1996"/>
      <c r="K40" s="1996"/>
      <c r="L40" s="1990"/>
      <c r="M40" s="1988"/>
      <c r="N40" s="1988"/>
      <c r="O40" s="1988"/>
      <c r="P40" s="1872"/>
      <c r="Q40" s="1873"/>
      <c r="R40" s="1880">
        <v>1</v>
      </c>
      <c r="S40" s="1903" t="s">
        <v>118</v>
      </c>
      <c r="T40" s="1881" t="s">
        <v>102</v>
      </c>
      <c r="U40" s="1871" t="str">
        <f>OFFSET(U40,0,-1)</f>
        <v>2</v>
      </c>
      <c r="V40" s="1979">
        <f>OFFSET(V40,0,-1)+1</f>
        <v>3</v>
      </c>
      <c r="W40" s="1979">
        <f>OFFSET(W40,0,-1)+1</f>
        <v>4</v>
      </c>
      <c r="X40" s="1979">
        <f>OFFSET(X40,0,-1)+1</f>
        <v>5</v>
      </c>
      <c r="Y40" s="1979">
        <f>OFFSET(Y40,0,-1)+1</f>
        <v>6</v>
      </c>
      <c r="Z40" s="2898">
        <f>OFFSET(Z40,0,-1)+1</f>
        <v>7</v>
      </c>
      <c r="AA40" s="2898"/>
      <c r="AB40" s="1979">
        <f>OFFSET(AB40,0,-2)+1</f>
        <v>8</v>
      </c>
      <c r="AC40" s="1979">
        <f>OFFSET(AC40,0,-1)+1</f>
        <v>9</v>
      </c>
      <c r="AD40" s="1979">
        <f>OFFSET(AD40,0,-1)+1</f>
        <v>10</v>
      </c>
      <c r="AE40" s="1979">
        <f>OFFSET(AE40,0,-1)+1</f>
        <v>11</v>
      </c>
      <c r="AF40" s="1979">
        <f>OFFSET(AF40,0,-1)+1</f>
        <v>12</v>
      </c>
      <c r="AG40" s="2898">
        <f>OFFSET(AG40,0,-1)+1</f>
        <v>13</v>
      </c>
      <c r="AH40" s="2898"/>
      <c r="AI40" s="1979">
        <f>OFFSET(AI40,0,-2)+1</f>
        <v>14</v>
      </c>
      <c r="AJ40" s="1871">
        <f>OFFSET(AJ40,0,-1)</f>
        <v>14</v>
      </c>
      <c r="AK40" s="1979">
        <f>OFFSET(AK40,0,-1)+1</f>
        <v>15</v>
      </c>
      <c r="AL40" s="1137"/>
      <c r="AM40" s="1137"/>
      <c r="AN40" s="1137"/>
      <c r="AO40" s="1137"/>
      <c r="AP40" s="1137"/>
      <c r="AQ40" s="1122">
        <v>0</v>
      </c>
    </row>
    <row customHeight="1" ht="24">
      <c r="A41" s="1989" t="s">
        <v>244</v>
      </c>
      <c r="B41" s="1989"/>
      <c r="C41" s="1989"/>
      <c r="D41" s="1989"/>
      <c r="E41" s="2884">
        <v>1</v>
      </c>
      <c r="F41" s="1989"/>
      <c r="G41" s="1989"/>
      <c r="H41" s="1989"/>
      <c r="I41" s="1989"/>
      <c r="J41" s="1989"/>
      <c r="K41" s="1989"/>
      <c r="L41" s="1990"/>
      <c r="M41" s="1991"/>
      <c r="N41" s="1991"/>
      <c r="O41" s="1991"/>
      <c r="P41" s="987"/>
      <c r="Q41" s="986"/>
      <c r="R41" s="981"/>
      <c r="S41" s="1984">
        <f>INDEX(PT_DIFFERENTIATION_NUM_NTAR,MATCH(A41,PT_DIFFERENTIATION_NTAR_ID,0))</f>
        <v>0</v>
      </c>
      <c r="T41" s="924" t="s">
        <v>143</v>
      </c>
      <c r="U41" s="926"/>
      <c r="V41" s="2868"/>
      <c r="W41" s="2869"/>
      <c r="X41" s="2869"/>
      <c r="Y41" s="2869"/>
      <c r="Z41" s="2869"/>
      <c r="AA41" s="2869"/>
      <c r="AB41" s="2870"/>
      <c r="AC41" s="2868" t="str">
        <f>INDEX(PT_DIFFERENTIATION_NTAR,MATCH(A41,PT_DIFFERENTIATION_NTAR_ID,0))</f>
        <v/>
      </c>
      <c r="AD41" s="2869"/>
      <c r="AE41" s="2869"/>
      <c r="AF41" s="2869"/>
      <c r="AG41" s="2869"/>
      <c r="AH41" s="2869"/>
      <c r="AI41" s="2869"/>
      <c r="AJ41" s="2870"/>
      <c r="AK41"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26"/>
      <c r="AN41" s="1126" t="str">
        <f>IF(T41="","",T41)</f>
        <v>Наименование тарифа</v>
      </c>
      <c r="AO41" s="1126"/>
      <c r="AP41" s="1126"/>
      <c r="AQ41" s="1781">
        <v>23</v>
      </c>
    </row>
    <row customHeight="1" ht="24">
      <c r="A42" s="1989" t="s">
        <v>244</v>
      </c>
      <c r="B42" s="1989" t="s">
        <v>245</v>
      </c>
      <c r="C42" s="1989"/>
      <c r="D42" s="1989"/>
      <c r="E42" s="2885"/>
      <c r="F42" s="2884">
        <v>1</v>
      </c>
      <c r="G42" s="1989"/>
      <c r="H42" s="1989"/>
      <c r="I42" s="1989"/>
      <c r="J42" s="1989"/>
      <c r="K42" s="1989"/>
      <c r="L42" s="1990"/>
      <c r="M42" s="1991"/>
      <c r="N42" s="1991"/>
      <c r="O42" s="1991"/>
      <c r="P42" s="1982"/>
      <c r="Q42" s="978"/>
      <c r="R42" s="979"/>
      <c r="S42" s="1984" t="str">
        <f>INDEX(PT_DIFFERENTIATION_NUM_TER,MATCH(B42,PT_DIFFERENTIATION_TER_ID,0))</f>
        <v>.</v>
      </c>
      <c r="T42" s="934" t="s">
        <v>415</v>
      </c>
      <c r="U42" s="926"/>
      <c r="V42" s="2868"/>
      <c r="W42" s="2869"/>
      <c r="X42" s="2869"/>
      <c r="Y42" s="2869"/>
      <c r="Z42" s="2869"/>
      <c r="AA42" s="2869"/>
      <c r="AB42" s="2870"/>
      <c r="AC42" s="2868" t="str">
        <f>INDEX(PT_DIFFERENTIATION_TER,MATCH(B42,PT_DIFFERENTIATION_TER_ID,0))</f>
        <v/>
      </c>
      <c r="AD42" s="2869"/>
      <c r="AE42" s="2869"/>
      <c r="AF42" s="2869"/>
      <c r="AG42" s="2869"/>
      <c r="AH42" s="2869"/>
      <c r="AI42" s="2869"/>
      <c r="AJ42" s="2870"/>
      <c r="AK42" s="1884" t="s">
        <v>416</v>
      </c>
      <c r="AM42" s="1126"/>
      <c r="AN42" s="1126" t="str">
        <f>IF(T42="","",T42)</f>
        <v>Территория действия тарифа</v>
      </c>
      <c r="AO42" s="1126"/>
      <c r="AP42" s="1126"/>
      <c r="AQ42" s="1781">
        <v>23</v>
      </c>
    </row>
    <row customHeight="1" ht="24">
      <c r="A43" s="1989" t="s">
        <v>244</v>
      </c>
      <c r="B43" s="1989" t="s">
        <v>245</v>
      </c>
      <c r="C43" s="1989" t="s">
        <v>246</v>
      </c>
      <c r="D43" s="1989"/>
      <c r="E43" s="2885"/>
      <c r="F43" s="2885"/>
      <c r="G43" s="2884">
        <v>1</v>
      </c>
      <c r="H43" s="1989"/>
      <c r="I43" s="1989"/>
      <c r="J43" s="1989"/>
      <c r="K43" s="1989"/>
      <c r="L43" s="1990"/>
      <c r="M43" s="1991"/>
      <c r="N43" s="1991"/>
      <c r="O43" s="1991"/>
      <c r="P43" s="980"/>
      <c r="Q43" s="978"/>
      <c r="R43" s="979"/>
      <c r="S43" s="1984" t="str">
        <f>INDEX(PT_DIFFERENTIATION_NUM_CS,MATCH(C43,PT_DIFFERENTIATION_CS_ID,0))</f>
        <v>..</v>
      </c>
      <c r="T43" s="935" t="s">
        <v>499</v>
      </c>
      <c r="U43" s="926"/>
      <c r="V43" s="2868"/>
      <c r="W43" s="2869"/>
      <c r="X43" s="2869"/>
      <c r="Y43" s="2869"/>
      <c r="Z43" s="2869"/>
      <c r="AA43" s="2869"/>
      <c r="AB43" s="2870"/>
      <c r="AC43" s="2868" t="str">
        <f>INDEX(PT_DIFFERENTIATION_CS,MATCH(C43,PT_DIFFERENTIATION_CS_ID,0))</f>
        <v/>
      </c>
      <c r="AD43" s="2869"/>
      <c r="AE43" s="2869"/>
      <c r="AF43" s="2869"/>
      <c r="AG43" s="2869"/>
      <c r="AH43" s="2869"/>
      <c r="AI43" s="2869"/>
      <c r="AJ43" s="2870"/>
      <c r="AK43" s="1884" t="s">
        <v>500</v>
      </c>
      <c r="AM43" s="1126"/>
      <c r="AN43" s="1126" t="str">
        <f>IF(T43="","",T43)</f>
        <v>Наименование централизованной системы холодного водоснабжения</v>
      </c>
      <c r="AO43" s="1126"/>
      <c r="AP43" s="1126"/>
      <c r="AQ43" s="1781">
        <v>23</v>
      </c>
    </row>
    <row customHeight="1" ht="24">
      <c r="A44" s="1989" t="s">
        <v>244</v>
      </c>
      <c r="B44" s="1989" t="s">
        <v>245</v>
      </c>
      <c r="C44" s="1989" t="s">
        <v>246</v>
      </c>
      <c r="D44" s="1989" t="s">
        <v>513</v>
      </c>
      <c r="E44" s="2885"/>
      <c r="F44" s="2885"/>
      <c r="G44" s="2885"/>
      <c r="H44" s="2885"/>
      <c r="I44" s="2882" t="str">
        <f>S43&amp;".1"</f>
        <v>...1</v>
      </c>
      <c r="J44" s="1989"/>
      <c r="K44" s="1989"/>
      <c r="L44" s="1990"/>
      <c r="P44" s="2883">
        <v>1</v>
      </c>
      <c r="Q44" s="1980"/>
      <c r="R44" s="982"/>
      <c r="S44" s="1984" t="str">
        <f>$I44</f>
        <v>...1</v>
      </c>
      <c r="T44" s="911" t="s">
        <v>501</v>
      </c>
      <c r="U44" s="926"/>
      <c r="V44" s="2976"/>
      <c r="W44" s="2977"/>
      <c r="X44" s="2977"/>
      <c r="Y44" s="2977"/>
      <c r="Z44" s="2977"/>
      <c r="AA44" s="2977"/>
      <c r="AB44" s="2978"/>
      <c r="AC44" s="2979"/>
      <c r="AD44" s="2980"/>
      <c r="AE44" s="2980"/>
      <c r="AF44" s="2980"/>
      <c r="AG44" s="2980"/>
      <c r="AH44" s="2980"/>
      <c r="AI44" s="2980"/>
      <c r="AJ44" s="2981"/>
      <c r="AK44" s="1884" t="s">
        <v>502</v>
      </c>
      <c r="AM44" s="1126"/>
      <c r="AN44" s="1126" t="str">
        <f>IF(T44="","",T44)</f>
        <v>Наименование признака дифференциации</v>
      </c>
      <c r="AO44" s="1126"/>
      <c r="AP44" s="1126"/>
      <c r="AQ44" s="1781">
        <v>23</v>
      </c>
    </row>
    <row customHeight="1" ht="24">
      <c r="A45" s="1989" t="s">
        <v>244</v>
      </c>
      <c r="B45" s="1989" t="s">
        <v>245</v>
      </c>
      <c r="C45" s="1989" t="s">
        <v>246</v>
      </c>
      <c r="D45" s="1989" t="s">
        <v>513</v>
      </c>
      <c r="E45" s="2885"/>
      <c r="F45" s="2885"/>
      <c r="G45" s="2885"/>
      <c r="H45" s="2885"/>
      <c r="I45" s="2912"/>
      <c r="J45" s="2882" t="str">
        <f>I44&amp;".1"</f>
        <v>...1.1</v>
      </c>
      <c r="K45" s="1989"/>
      <c r="L45" s="1990" t="s">
        <v>424</v>
      </c>
      <c r="P45" s="2883"/>
      <c r="Q45" s="2883">
        <v>1</v>
      </c>
      <c r="R45" s="983"/>
      <c r="S45" s="1984" t="str">
        <f>$J45</f>
        <v>...1.1</v>
      </c>
      <c r="T45" s="912" t="s">
        <v>425</v>
      </c>
      <c r="U45" s="926"/>
      <c r="V45" s="2871"/>
      <c r="W45" s="2872"/>
      <c r="X45" s="2872"/>
      <c r="Y45" s="2872"/>
      <c r="Z45" s="2872"/>
      <c r="AA45" s="2872"/>
      <c r="AB45" s="2873"/>
      <c r="AC45" s="2871"/>
      <c r="AD45" s="2872"/>
      <c r="AE45" s="2872"/>
      <c r="AF45" s="2872"/>
      <c r="AG45" s="2872"/>
      <c r="AH45" s="2872"/>
      <c r="AI45" s="2872"/>
      <c r="AJ45" s="2873"/>
      <c r="AK45" s="1933" t="s">
        <v>503</v>
      </c>
      <c r="AM45" s="1126"/>
      <c r="AN45" s="1126" t="str">
        <f>IF(T45="","",T45)</f>
        <v>Группа потребителей</v>
      </c>
      <c r="AO45" s="1126"/>
      <c r="AP45" s="1126"/>
      <c r="AQ45" s="1781">
        <v>23</v>
      </c>
    </row>
    <row customHeight="1" ht="24">
      <c r="A46" s="1989" t="s">
        <v>244</v>
      </c>
      <c r="B46" s="1989" t="s">
        <v>245</v>
      </c>
      <c r="C46" s="1989" t="s">
        <v>246</v>
      </c>
      <c r="D46" s="1989" t="s">
        <v>513</v>
      </c>
      <c r="E46" s="2885"/>
      <c r="F46" s="2885"/>
      <c r="G46" s="2885"/>
      <c r="H46" s="2885"/>
      <c r="I46" s="2912"/>
      <c r="J46" s="2912"/>
      <c r="K46" s="2882" t="str">
        <f>J45&amp;".1"</f>
        <v>...1.1.1</v>
      </c>
      <c r="L46" s="1990"/>
      <c r="P46" s="2883"/>
      <c r="Q46" s="2883"/>
      <c r="R46" s="983">
        <v>1</v>
      </c>
      <c r="S46" s="1984" t="str">
        <f>$K46</f>
        <v>...1.1.1</v>
      </c>
      <c r="T46" s="2063"/>
      <c r="U46" s="926"/>
      <c r="V46" s="1986"/>
      <c r="W46" s="1986"/>
      <c r="X46" s="1987"/>
      <c r="Y46" s="2893"/>
      <c r="Z46" s="2894" t="s">
        <v>66</v>
      </c>
      <c r="AA46" s="2893"/>
      <c r="AB46" s="2894" t="s">
        <v>66</v>
      </c>
      <c r="AC46" s="1377"/>
      <c r="AD46" s="1377"/>
      <c r="AE46" s="1883"/>
      <c r="AF46" s="2891"/>
      <c r="AG46" s="2733" t="s">
        <v>66</v>
      </c>
      <c r="AH46" s="2913"/>
      <c r="AI46" s="2733" t="s">
        <v>19</v>
      </c>
      <c r="AJ46" s="2064"/>
      <c r="AK46"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37">
        <f>STRCHECKDATE(V47:AJ47)</f>
      </c>
      <c r="AM46" s="1126"/>
      <c r="AN46" s="1126" t="str">
        <f>IF(T46="","",T46)</f>
        <v/>
      </c>
      <c r="AO46" s="1126"/>
      <c r="AP46" s="1126"/>
      <c r="AQ46" s="1781">
        <v>23</v>
      </c>
    </row>
    <row customHeight="1" ht="0">
      <c r="A47" s="1989" t="s">
        <v>244</v>
      </c>
      <c r="B47" s="1989" t="s">
        <v>245</v>
      </c>
      <c r="C47" s="1989" t="s">
        <v>246</v>
      </c>
      <c r="D47" s="1989" t="s">
        <v>513</v>
      </c>
      <c r="E47" s="2885"/>
      <c r="F47" s="2885"/>
      <c r="G47" s="2885"/>
      <c r="H47" s="2885"/>
      <c r="I47" s="2912"/>
      <c r="J47" s="2912"/>
      <c r="K47" s="2882"/>
      <c r="L47" s="1990"/>
      <c r="P47" s="2883"/>
      <c r="Q47" s="2883"/>
      <c r="R47" s="983"/>
      <c r="S47" s="1985"/>
      <c r="T47" s="926"/>
      <c r="U47" s="926"/>
      <c r="V47" s="1986"/>
      <c r="W47" s="1986"/>
      <c r="X47" s="954" t="str">
        <f>Y46&amp;"-"&amp;AA46</f>
        <v>-</v>
      </c>
      <c r="Y47" s="2894"/>
      <c r="Z47" s="2894"/>
      <c r="AA47" s="2894"/>
      <c r="AB47" s="2894"/>
      <c r="AC47" s="951"/>
      <c r="AD47" s="951"/>
      <c r="AE47" s="954" t="str">
        <f>AF46&amp;"-"&amp;AH46</f>
        <v>-</v>
      </c>
      <c r="AF47" s="2892"/>
      <c r="AG47" s="2733"/>
      <c r="AH47" s="2914"/>
      <c r="AI47" s="2733"/>
      <c r="AJ47" s="2065"/>
      <c r="AK47" s="2975"/>
      <c r="AM47" s="1126"/>
      <c r="AN47" s="1126" t="str">
        <f>IF(T47="","",T47)</f>
        <v/>
      </c>
      <c r="AO47" s="1126"/>
      <c r="AP47" s="1126"/>
      <c r="AQ47" s="1781">
        <v>0</v>
      </c>
    </row>
    <row customHeight="1" ht="21">
      <c r="A48" s="1989" t="s">
        <v>244</v>
      </c>
      <c r="B48" s="1989" t="s">
        <v>245</v>
      </c>
      <c r="C48" s="1989" t="s">
        <v>246</v>
      </c>
      <c r="D48" s="1989" t="s">
        <v>513</v>
      </c>
      <c r="E48" s="2885"/>
      <c r="F48" s="2885"/>
      <c r="G48" s="2885"/>
      <c r="H48" s="2885"/>
      <c r="I48" s="2912"/>
      <c r="J48" s="2882"/>
      <c r="K48" s="1989"/>
      <c r="L48" s="1990"/>
      <c r="P48" s="2883"/>
      <c r="Q48" s="2883"/>
      <c r="R48" s="982"/>
      <c r="S48" s="1904"/>
      <c r="T48" s="913" t="s">
        <v>504</v>
      </c>
      <c r="U48" s="993"/>
      <c r="V48" s="993"/>
      <c r="W48" s="993"/>
      <c r="X48" s="993"/>
      <c r="Y48" s="993"/>
      <c r="Z48" s="993"/>
      <c r="AA48" s="993"/>
      <c r="AB48" s="993"/>
      <c r="AC48" s="993"/>
      <c r="AD48" s="993"/>
      <c r="AE48" s="993"/>
      <c r="AF48" s="993"/>
      <c r="AG48" s="993"/>
      <c r="AH48" s="993"/>
      <c r="AI48" s="993"/>
      <c r="AJ48" s="993"/>
      <c r="AK48" s="1884" t="s">
        <v>505</v>
      </c>
      <c r="AM48" s="1126"/>
      <c r="AN48" s="1126" t="str">
        <f>IF(T48="","",T48)</f>
        <v>Добавить значение признака дифференциации</v>
      </c>
      <c r="AO48" s="1126"/>
      <c r="AP48" s="1126"/>
      <c r="AQ48" s="1781">
        <v>20</v>
      </c>
    </row>
    <row customHeight="1" ht="22.049999999999997">
      <c r="A49" s="1989" t="s">
        <v>244</v>
      </c>
      <c r="B49" s="1989" t="s">
        <v>245</v>
      </c>
      <c r="C49" s="1989" t="s">
        <v>246</v>
      </c>
      <c r="D49" s="1989" t="s">
        <v>513</v>
      </c>
      <c r="E49" s="2885"/>
      <c r="F49" s="2885"/>
      <c r="G49" s="2885"/>
      <c r="H49" s="2885"/>
      <c r="I49" s="2882"/>
      <c r="J49" s="1989"/>
      <c r="K49" s="1989"/>
      <c r="L49" s="1990"/>
      <c r="P49" s="2883"/>
      <c r="Q49" s="1980"/>
      <c r="R49" s="982"/>
      <c r="S49" s="1904"/>
      <c r="T49" s="991" t="s">
        <v>430</v>
      </c>
      <c r="U49" s="993"/>
      <c r="V49" s="993"/>
      <c r="W49" s="993"/>
      <c r="X49" s="993"/>
      <c r="Y49" s="993"/>
      <c r="Z49" s="993"/>
      <c r="AA49" s="993"/>
      <c r="AB49" s="992"/>
      <c r="AC49" s="993"/>
      <c r="AD49" s="993"/>
      <c r="AE49" s="993"/>
      <c r="AF49" s="993"/>
      <c r="AG49" s="993"/>
      <c r="AH49" s="993"/>
      <c r="AI49" s="992"/>
      <c r="AJ49" s="993"/>
      <c r="AK49" s="2066"/>
      <c r="AM49" s="1126"/>
      <c r="AN49" s="1126" t="str">
        <f>IF(T49="","",T49)</f>
        <v>Добавить группу потребителей</v>
      </c>
      <c r="AO49" s="1126"/>
      <c r="AP49" s="1126"/>
      <c r="AQ49" s="1781">
        <v>21</v>
      </c>
    </row>
    <row customHeight="1" ht="22.049999999999997">
      <c r="A50" s="1989" t="s">
        <v>244</v>
      </c>
      <c r="B50" s="1989" t="s">
        <v>245</v>
      </c>
      <c r="C50" s="1989" t="s">
        <v>246</v>
      </c>
      <c r="D50" s="1989" t="s">
        <v>513</v>
      </c>
      <c r="E50" s="2885"/>
      <c r="F50" s="2885"/>
      <c r="G50" s="2885"/>
      <c r="H50" s="2884"/>
      <c r="I50" s="1989"/>
      <c r="J50" s="1989"/>
      <c r="K50" s="1989"/>
      <c r="L50" s="1990"/>
      <c r="M50" s="1991"/>
      <c r="N50" s="1991"/>
      <c r="O50" s="1163"/>
      <c r="P50" s="986"/>
      <c r="Q50" s="1001"/>
      <c r="R50" s="981"/>
      <c r="S50" s="1904"/>
      <c r="T50" s="998" t="s">
        <v>506</v>
      </c>
      <c r="U50" s="993"/>
      <c r="V50" s="993"/>
      <c r="W50" s="993"/>
      <c r="X50" s="993"/>
      <c r="Y50" s="993"/>
      <c r="Z50" s="993"/>
      <c r="AA50" s="993"/>
      <c r="AB50" s="992"/>
      <c r="AC50" s="993"/>
      <c r="AD50" s="993"/>
      <c r="AE50" s="993"/>
      <c r="AF50" s="993"/>
      <c r="AG50" s="993"/>
      <c r="AH50" s="993"/>
      <c r="AI50" s="992"/>
      <c r="AJ50" s="993"/>
      <c r="AK50" s="929"/>
      <c r="AM50" s="1126"/>
      <c r="AN50" s="1126" t="str">
        <f>IF(T50="","",T50)</f>
        <v>Добавить наименование признака дифференциации</v>
      </c>
      <c r="AO50" s="1126"/>
      <c r="AP50" s="1126"/>
      <c r="AQ50" s="1781">
        <v>21</v>
      </c>
    </row>
    <row s="34658" customFormat="1" customHeight="1" ht="0">
      <c r="A51" s="1969" t="s">
        <v>244</v>
      </c>
      <c r="B51" s="1969" t="s">
        <v>245</v>
      </c>
      <c r="C51" s="1940"/>
      <c r="D51" s="1940"/>
      <c r="E51" s="2885"/>
      <c r="F51" s="2884"/>
      <c r="G51" s="1940"/>
      <c r="H51" s="1940"/>
      <c r="I51" s="1940"/>
      <c r="J51" s="1940"/>
      <c r="K51" s="1940"/>
      <c r="L51" s="2052"/>
      <c r="M51" s="1947"/>
      <c r="N51" s="1947"/>
      <c r="P51" s="1942"/>
      <c r="Q51" s="1943"/>
      <c r="R51" s="1942"/>
      <c r="S51" s="1948"/>
      <c r="T51" s="1951" t="s">
        <v>433</v>
      </c>
      <c r="U51" s="1950"/>
      <c r="V51" s="1950"/>
      <c r="W51" s="1950"/>
      <c r="X51" s="1950"/>
      <c r="Y51" s="1950"/>
      <c r="Z51" s="1950"/>
      <c r="AA51" s="1950"/>
      <c r="AB51" s="1950"/>
      <c r="AC51" s="1950"/>
      <c r="AD51" s="1950"/>
      <c r="AE51" s="1950"/>
      <c r="AF51" s="1950"/>
      <c r="AG51" s="1950"/>
      <c r="AH51" s="1950"/>
      <c r="AI51" s="1950"/>
      <c r="AJ51" s="1950"/>
      <c r="AK51" s="1950"/>
      <c r="AM51" s="1415"/>
      <c r="AN51" s="1415" t="str">
        <f>IF(T51="","",T51)</f>
        <v>Добавить централизованную систему для дифференциации</v>
      </c>
      <c r="AO51" s="1415"/>
      <c r="AP51" s="1415"/>
      <c r="AQ51" s="1144">
        <v>0</v>
      </c>
    </row>
    <row s="34658" customFormat="1" customHeight="1" ht="0">
      <c r="A52" s="1969" t="s">
        <v>244</v>
      </c>
      <c r="B52" s="1969"/>
      <c r="C52" s="1969"/>
      <c r="D52" s="1969"/>
      <c r="E52" s="2884"/>
      <c r="F52" s="1969"/>
      <c r="G52" s="1969"/>
      <c r="H52" s="1969"/>
      <c r="I52" s="1969"/>
      <c r="J52" s="1969"/>
      <c r="K52" s="1969"/>
      <c r="L52" s="1972"/>
      <c r="M52" s="1947"/>
      <c r="N52" s="1947"/>
      <c r="O52" s="1144"/>
      <c r="P52" s="1006"/>
      <c r="Q52" s="1970"/>
      <c r="R52" s="1006"/>
      <c r="S52" s="1948"/>
      <c r="T52" s="1951" t="s">
        <v>434</v>
      </c>
      <c r="U52" s="1950"/>
      <c r="V52" s="1950"/>
      <c r="W52" s="1950"/>
      <c r="X52" s="1950"/>
      <c r="Y52" s="1950"/>
      <c r="Z52" s="1950"/>
      <c r="AA52" s="1950"/>
      <c r="AB52" s="1950"/>
      <c r="AC52" s="1950"/>
      <c r="AD52" s="1950"/>
      <c r="AE52" s="1950"/>
      <c r="AF52" s="1950"/>
      <c r="AG52" s="1950"/>
      <c r="AH52" s="1950"/>
      <c r="AI52" s="1950"/>
      <c r="AJ52" s="1950"/>
      <c r="AK52" s="1950"/>
      <c r="AM52" s="1126"/>
      <c r="AN52" s="1126" t="str">
        <f>IF(T52="","",T52)</f>
        <v>Добавить территорию для дифференциации</v>
      </c>
      <c r="AO52" s="1126"/>
      <c r="AP52" s="1126"/>
      <c r="AQ52" s="1137">
        <v>0</v>
      </c>
    </row>
    <row s="34658" customFormat="1" customHeight="1" ht="0">
      <c r="A53" s="1940"/>
      <c r="B53" s="1940"/>
      <c r="C53" s="1940"/>
      <c r="D53" s="1940"/>
      <c r="E53" s="1969"/>
      <c r="F53" s="1940"/>
      <c r="G53" s="1940"/>
      <c r="H53" s="1940"/>
      <c r="I53" s="1940"/>
      <c r="J53" s="1940"/>
      <c r="K53" s="1940"/>
      <c r="L53" s="2052"/>
      <c r="M53" s="1947"/>
      <c r="N53" s="1947"/>
      <c r="P53" s="1942"/>
      <c r="Q53" s="1943"/>
      <c r="R53" s="1942"/>
      <c r="S53" s="1948"/>
      <c r="T53" s="1951" t="s">
        <v>466</v>
      </c>
      <c r="U53" s="1950"/>
      <c r="V53" s="1950"/>
      <c r="W53" s="1950"/>
      <c r="X53" s="1950"/>
      <c r="Y53" s="1950"/>
      <c r="Z53" s="1950"/>
      <c r="AA53" s="1950"/>
      <c r="AB53" s="1950"/>
      <c r="AC53" s="1950"/>
      <c r="AD53" s="1950"/>
      <c r="AE53" s="1950"/>
      <c r="AF53" s="1950"/>
      <c r="AG53" s="1950"/>
      <c r="AH53" s="1950"/>
      <c r="AI53" s="1950"/>
      <c r="AJ53" s="1950"/>
      <c r="AK53" s="1950"/>
      <c r="AM53" s="1415"/>
      <c r="AN53" s="1415" t="str">
        <f>IF(T53="","",T53)</f>
        <v>Добавить наименование тарифа</v>
      </c>
      <c r="AO53" s="1415"/>
      <c r="AP53" s="1415"/>
      <c r="AQ53" s="1144">
        <v>0</v>
      </c>
    </row>
    <row customHeight="1" ht="11.549999999999999">
      <c r="M54" s="1786"/>
      <c r="N54" s="1786"/>
      <c r="O54" s="1163"/>
      <c r="P54" s="1781"/>
      <c r="Q54" s="1781"/>
      <c r="R54" s="1781"/>
      <c r="S54" s="1781"/>
      <c r="AL54" s="1781"/>
      <c r="AM54" s="1781"/>
      <c r="AN54" s="1781"/>
      <c r="AO54" s="1781"/>
      <c r="AP54" s="1781"/>
      <c r="AQ54" s="1781">
        <v>11</v>
      </c>
    </row>
    <row customHeight="1" ht="14.699999999999998">
      <c r="O55" s="1163"/>
      <c r="S55" s="1879"/>
      <c r="T55" s="2911"/>
      <c r="U55" s="2911"/>
      <c r="V55" s="2911"/>
      <c r="W55" s="2911"/>
      <c r="X55" s="2911"/>
      <c r="Y55" s="2911"/>
      <c r="Z55" s="2911"/>
      <c r="AA55" s="2911"/>
      <c r="AB55" s="2911"/>
      <c r="AC55" s="2911"/>
      <c r="AD55" s="2911"/>
      <c r="AE55" s="2911"/>
      <c r="AF55" s="2911"/>
      <c r="AG55" s="2911"/>
      <c r="AH55" s="2911"/>
      <c r="AI55" s="2911"/>
      <c r="AJ55" s="2911"/>
      <c r="AK55" s="2911"/>
      <c r="AQ55" s="1781">
        <v>14</v>
      </c>
    </row>
    <row customHeight="1" ht="14.699999999999998">
      <c r="O56" s="1163"/>
      <c r="AQ56" s="1781">
        <v>14</v>
      </c>
    </row>
    <row customHeight="1" ht="14.699999999999998">
      <c r="O57" s="1163"/>
      <c r="S57" s="1879"/>
      <c r="T57" s="2911"/>
      <c r="U57" s="2911"/>
      <c r="V57" s="2911"/>
      <c r="W57" s="2911"/>
      <c r="X57" s="2911"/>
      <c r="Y57" s="2911"/>
      <c r="Z57" s="2911"/>
      <c r="AA57" s="2911"/>
      <c r="AB57" s="2911"/>
      <c r="AC57" s="2911"/>
      <c r="AD57" s="2911"/>
      <c r="AE57" s="2911"/>
      <c r="AF57" s="2911"/>
      <c r="AG57" s="2911"/>
      <c r="AH57" s="2911"/>
      <c r="AI57" s="2911"/>
      <c r="AJ57" s="2911"/>
      <c r="AK57" s="2911"/>
      <c r="AQ57" s="1781">
        <v>14</v>
      </c>
    </row>
    <row customHeight="1" ht="22.5" hidden="1">
      <c r="A58" s="1786" t="s">
        <v>82</v>
      </c>
      <c r="B58" s="1786">
        <v>0</v>
      </c>
      <c r="C58" s="1786">
        <v>0</v>
      </c>
      <c r="D58" s="1786">
        <v>0</v>
      </c>
      <c r="E58" s="1786">
        <v>0</v>
      </c>
      <c r="F58" s="1786">
        <v>0</v>
      </c>
      <c r="G58" s="1786">
        <v>0</v>
      </c>
      <c r="H58" s="1786">
        <v>0</v>
      </c>
      <c r="I58" s="1786">
        <v>0</v>
      </c>
      <c r="J58" s="1786">
        <v>0</v>
      </c>
      <c r="K58" s="1786">
        <v>0</v>
      </c>
      <c r="L58" s="2047">
        <v>0</v>
      </c>
      <c r="M58" s="1988">
        <v>0</v>
      </c>
      <c r="N58" s="1988">
        <v>0</v>
      </c>
      <c r="O58" s="1988">
        <v>0</v>
      </c>
      <c r="P58" s="1977">
        <v>3</v>
      </c>
      <c r="Q58" s="970">
        <v>3</v>
      </c>
      <c r="R58" s="970">
        <v>3</v>
      </c>
      <c r="S58" s="1207">
        <v>12</v>
      </c>
      <c r="T58" s="1781">
        <v>35</v>
      </c>
      <c r="U58" s="1781">
        <v>0</v>
      </c>
      <c r="V58" s="1781">
        <v>0</v>
      </c>
      <c r="W58" s="1781">
        <v>0</v>
      </c>
      <c r="X58" s="1781">
        <v>0</v>
      </c>
      <c r="Y58" s="1781">
        <v>0</v>
      </c>
      <c r="Z58" s="1781">
        <v>0</v>
      </c>
      <c r="AA58" s="1781">
        <v>0</v>
      </c>
      <c r="AB58" s="1781">
        <v>0</v>
      </c>
      <c r="AC58" s="1781">
        <v>24</v>
      </c>
      <c r="AD58" s="1781">
        <v>24</v>
      </c>
      <c r="AE58" s="1781">
        <v>24</v>
      </c>
      <c r="AF58" s="1781">
        <v>11</v>
      </c>
      <c r="AG58" s="1781">
        <v>3</v>
      </c>
      <c r="AH58" s="1781">
        <v>11</v>
      </c>
      <c r="AI58" s="1781">
        <v>0</v>
      </c>
      <c r="AJ58" s="1781">
        <v>4</v>
      </c>
      <c r="AK58" s="1781">
        <v>115</v>
      </c>
      <c r="AL58" s="1137">
        <v>10</v>
      </c>
      <c r="AM58" s="1137">
        <v>10</v>
      </c>
      <c r="AN58" s="1137">
        <v>10</v>
      </c>
      <c r="AO58" s="1137">
        <v>10</v>
      </c>
      <c r="AP58" s="1137">
        <v>10</v>
      </c>
      <c r="AQ58" s="1781">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1BF3C6-1A34-8481-AF81-5146444FA72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4.140625" hidden="1" customWidth="1"/>
    <col min="10" max="10" style="34657" width="9.8515625" hidden="1" customWidth="1"/>
    <col min="11" max="11" style="34657" width="14.71093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5.00390625" customWidth="1"/>
    <col min="21" max="21" style="34580" width="0.140625" customWidth="1"/>
    <col min="22" max="24" style="34580" width="24.7109375" hidden="1" customWidth="1"/>
    <col min="25" max="25" style="34580" width="11.7109375" hidden="1" customWidth="1"/>
    <col min="26" max="26" style="34580" width="3.7109375" hidden="1" customWidth="1"/>
    <col min="27" max="27" style="34580" width="11.7109375" hidden="1" customWidth="1"/>
    <col min="28" max="28" style="34580" width="8.57421875" hidden="1" customWidth="1"/>
    <col min="29" max="29" style="34580" width="24.7109375" customWidth="1"/>
    <col min="30" max="31" style="34580" width="24.00390625" customWidth="1"/>
    <col min="32" max="32" style="34580" width="11.00390625" customWidth="1"/>
    <col min="33" max="33" style="34580" width="3.7109375" customWidth="1"/>
    <col min="34" max="34" style="34580" width="11.00390625" customWidth="1"/>
    <col min="35" max="35" style="34580" width="8.57421875" hidden="1" customWidth="1"/>
    <col min="36" max="36" style="34580" width="4.00390625" customWidth="1"/>
    <col min="37" max="37" style="34580" width="115.00390625" customWidth="1"/>
    <col min="38" max="42" style="34658" width="10.00390625" customWidth="1"/>
    <col min="43" max="43" style="34580" width="10.57421875" hidden="1"/>
  </cols>
  <sheetData>
    <row customHeight="1" ht="22.5" hidden="1">
      <c r="X1" s="953"/>
      <c r="Y1" s="953"/>
      <c r="AE1" s="953"/>
      <c r="AF1" s="953"/>
      <c r="AQ1" s="1781" t="s">
        <v>14</v>
      </c>
    </row>
    <row customHeight="1" ht="23.25" hidden="1">
      <c r="A2" s="1989"/>
      <c r="B2" s="1989"/>
      <c r="C2" s="1989"/>
      <c r="D2" s="1989"/>
      <c r="E2" s="2884">
        <v>1</v>
      </c>
      <c r="F2" s="1989"/>
      <c r="G2" s="1989"/>
      <c r="H2" s="1989"/>
      <c r="I2" s="1989"/>
      <c r="J2" s="1989"/>
      <c r="K2" s="1989"/>
      <c r="L2" s="1990"/>
      <c r="M2" s="1991"/>
      <c r="N2" s="1991"/>
      <c r="O2" s="1991"/>
      <c r="P2" s="987"/>
      <c r="Q2" s="986"/>
      <c r="R2" s="981"/>
      <c r="S2" s="2083">
        <f>INDEX(PT_DIFFERENTIATION_NUM_NTAR,MATCH(A2,PT_DIFFERENTIATION_NTAR_ID,0))</f>
      </c>
      <c r="T2" s="924" t="s">
        <v>143</v>
      </c>
      <c r="U2" s="926"/>
      <c r="V2" s="2868"/>
      <c r="W2" s="2869"/>
      <c r="X2" s="2869"/>
      <c r="Y2" s="2869"/>
      <c r="Z2" s="2869"/>
      <c r="AA2" s="2869"/>
      <c r="AB2" s="2870"/>
      <c r="AC2" s="2868">
        <f>INDEX(PT_DIFFERENTIATION_NTAR,MATCH(A2,PT_DIFFERENTIATION_NTAR_ID,0))</f>
      </c>
      <c r="AD2" s="2869"/>
      <c r="AE2" s="2869"/>
      <c r="AF2" s="2869"/>
      <c r="AG2" s="2869"/>
      <c r="AH2" s="2869"/>
      <c r="AI2" s="2869"/>
      <c r="AJ2" s="2870"/>
      <c r="AK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26"/>
      <c r="AN2" s="1126" t="str">
        <f>IF(T2="","",T2)</f>
        <v>Наименование тарифа</v>
      </c>
      <c r="AO2" s="1126"/>
      <c r="AP2" s="1126"/>
      <c r="AQ2" s="1781">
        <v>0</v>
      </c>
    </row>
    <row customHeight="1" ht="23.25" hidden="1">
      <c r="A3" s="1989"/>
      <c r="B3" s="1989"/>
      <c r="C3" s="1989"/>
      <c r="D3" s="1989"/>
      <c r="E3" s="2885"/>
      <c r="F3" s="2884">
        <v>1</v>
      </c>
      <c r="G3" s="1989"/>
      <c r="H3" s="1989"/>
      <c r="I3" s="1989"/>
      <c r="J3" s="1989"/>
      <c r="K3" s="1989"/>
      <c r="L3" s="1990"/>
      <c r="M3" s="1991"/>
      <c r="N3" s="1991"/>
      <c r="O3" s="1991"/>
      <c r="P3" s="2079"/>
      <c r="Q3" s="978"/>
      <c r="R3" s="979"/>
      <c r="S3" s="2083">
        <f>INDEX(PT_DIFFERENTIATION_NUM_TER,MATCH(B3,PT_DIFFERENTIATION_TER_ID,0))</f>
      </c>
      <c r="T3" s="934" t="s">
        <v>415</v>
      </c>
      <c r="U3" s="926"/>
      <c r="V3" s="2868"/>
      <c r="W3" s="2869"/>
      <c r="X3" s="2869"/>
      <c r="Y3" s="2869"/>
      <c r="Z3" s="2869"/>
      <c r="AA3" s="2869"/>
      <c r="AB3" s="2870"/>
      <c r="AC3" s="2868">
        <f>INDEX(PT_DIFFERENTIATION_TER,MATCH(B3,PT_DIFFERENTIATION_TER_ID,0))</f>
      </c>
      <c r="AD3" s="2869"/>
      <c r="AE3" s="2869"/>
      <c r="AF3" s="2869"/>
      <c r="AG3" s="2869"/>
      <c r="AH3" s="2869"/>
      <c r="AI3" s="2869"/>
      <c r="AJ3" s="2870"/>
      <c r="AK3" s="1884" t="s">
        <v>416</v>
      </c>
      <c r="AM3" s="1126"/>
      <c r="AN3" s="1126" t="str">
        <f>IF(T3="","",T3)</f>
        <v>Территория действия тарифа</v>
      </c>
      <c r="AO3" s="1126"/>
      <c r="AP3" s="1126"/>
      <c r="AQ3" s="1781">
        <v>0</v>
      </c>
    </row>
    <row customHeight="1" ht="23.25" hidden="1">
      <c r="A4" s="1989"/>
      <c r="B4" s="1989"/>
      <c r="C4" s="1989"/>
      <c r="D4" s="1989"/>
      <c r="E4" s="2885"/>
      <c r="F4" s="2885"/>
      <c r="G4" s="2884">
        <v>1</v>
      </c>
      <c r="H4" s="1989"/>
      <c r="I4" s="1989"/>
      <c r="J4" s="1989"/>
      <c r="K4" s="1989"/>
      <c r="L4" s="1990"/>
      <c r="M4" s="1991"/>
      <c r="N4" s="1991"/>
      <c r="O4" s="1991"/>
      <c r="P4" s="980"/>
      <c r="Q4" s="978"/>
      <c r="R4" s="979"/>
      <c r="S4" s="2083">
        <f>INDEX(PT_DIFFERENTIATION_NUM_CS,MATCH(C4,PT_DIFFERENTIATION_CS_ID,0))</f>
      </c>
      <c r="T4" s="935" t="s">
        <v>499</v>
      </c>
      <c r="U4" s="926"/>
      <c r="V4" s="2868"/>
      <c r="W4" s="2869"/>
      <c r="X4" s="2869"/>
      <c r="Y4" s="2869"/>
      <c r="Z4" s="2869"/>
      <c r="AA4" s="2869"/>
      <c r="AB4" s="2870"/>
      <c r="AC4" s="2868">
        <f>INDEX(PT_DIFFERENTIATION_CS,MATCH(C4,PT_DIFFERENTIATION_CS_ID,0))</f>
      </c>
      <c r="AD4" s="2869"/>
      <c r="AE4" s="2869"/>
      <c r="AF4" s="2869"/>
      <c r="AG4" s="2869"/>
      <c r="AH4" s="2869"/>
      <c r="AI4" s="2869"/>
      <c r="AJ4" s="2870"/>
      <c r="AK4" s="1884" t="s">
        <v>500</v>
      </c>
      <c r="AM4" s="1126"/>
      <c r="AN4" s="1126" t="str">
        <f>IF(T4="","",T4)</f>
        <v>Наименование централизованной системы холодного водоснабжения</v>
      </c>
      <c r="AO4" s="1126"/>
      <c r="AP4" s="1126"/>
      <c r="AQ4" s="1781">
        <v>0</v>
      </c>
    </row>
    <row customHeight="1" ht="23.25" hidden="1">
      <c r="A5" s="1989"/>
      <c r="B5" s="1989"/>
      <c r="C5" s="1989"/>
      <c r="D5" s="1989"/>
      <c r="E5" s="2885"/>
      <c r="F5" s="2885"/>
      <c r="G5" s="2885"/>
      <c r="H5" s="2885"/>
      <c r="I5" s="2882">
        <f>S4&amp;".1"</f>
      </c>
      <c r="J5" s="1989"/>
      <c r="K5" s="1989"/>
      <c r="L5" s="1990"/>
      <c r="P5" s="2883">
        <v>1</v>
      </c>
      <c r="Q5" s="2076"/>
      <c r="R5" s="982"/>
      <c r="S5" s="2083">
        <f>$I5</f>
      </c>
      <c r="T5" s="911" t="s">
        <v>501</v>
      </c>
      <c r="U5" s="926"/>
      <c r="V5" s="2976"/>
      <c r="W5" s="2977"/>
      <c r="X5" s="2977"/>
      <c r="Y5" s="2977"/>
      <c r="Z5" s="2977"/>
      <c r="AA5" s="2977"/>
      <c r="AB5" s="2978"/>
      <c r="AC5" s="2979"/>
      <c r="AD5" s="2980"/>
      <c r="AE5" s="2980"/>
      <c r="AF5" s="2980"/>
      <c r="AG5" s="2980"/>
      <c r="AH5" s="2980"/>
      <c r="AI5" s="2980"/>
      <c r="AJ5" s="2981"/>
      <c r="AK5" s="1884" t="s">
        <v>502</v>
      </c>
      <c r="AM5" s="1126"/>
      <c r="AN5" s="1126" t="str">
        <f>IF(T5="","",T5)</f>
        <v>Наименование признака дифференциации</v>
      </c>
      <c r="AO5" s="1126"/>
      <c r="AP5" s="1126"/>
      <c r="AQ5" s="1781">
        <v>0</v>
      </c>
    </row>
    <row customHeight="1" ht="23.25" hidden="1">
      <c r="A6" s="1989"/>
      <c r="B6" s="1989"/>
      <c r="C6" s="1989"/>
      <c r="D6" s="1989"/>
      <c r="E6" s="2885"/>
      <c r="F6" s="2885"/>
      <c r="G6" s="2885"/>
      <c r="H6" s="2885"/>
      <c r="I6" s="2912"/>
      <c r="J6" s="2882">
        <f>I5&amp;".1"</f>
      </c>
      <c r="K6" s="1989"/>
      <c r="L6" s="1990" t="s">
        <v>424</v>
      </c>
      <c r="P6" s="2883"/>
      <c r="Q6" s="2883">
        <v>1</v>
      </c>
      <c r="R6" s="983"/>
      <c r="S6" s="2083">
        <f>$J6</f>
      </c>
      <c r="T6" s="912" t="s">
        <v>425</v>
      </c>
      <c r="U6" s="926"/>
      <c r="V6" s="2871"/>
      <c r="W6" s="2872"/>
      <c r="X6" s="2872"/>
      <c r="Y6" s="2872"/>
      <c r="Z6" s="2872"/>
      <c r="AA6" s="2872"/>
      <c r="AB6" s="2873"/>
      <c r="AC6" s="2871"/>
      <c r="AD6" s="2872"/>
      <c r="AE6" s="2872"/>
      <c r="AF6" s="2872"/>
      <c r="AG6" s="2872"/>
      <c r="AH6" s="2872"/>
      <c r="AI6" s="2872"/>
      <c r="AJ6" s="2873"/>
      <c r="AK6" s="1933" t="s">
        <v>503</v>
      </c>
      <c r="AM6" s="1126"/>
      <c r="AN6" s="1126" t="str">
        <f>IF(T6="","",T6)</f>
        <v>Группа потребителей</v>
      </c>
      <c r="AO6" s="1126"/>
      <c r="AP6" s="1126"/>
      <c r="AQ6" s="1781">
        <v>0</v>
      </c>
    </row>
    <row customHeight="1" ht="23.25" hidden="1">
      <c r="A7" s="1989"/>
      <c r="B7" s="1989"/>
      <c r="C7" s="1989"/>
      <c r="D7" s="1989"/>
      <c r="E7" s="2885"/>
      <c r="F7" s="2885"/>
      <c r="G7" s="2885"/>
      <c r="H7" s="2885"/>
      <c r="I7" s="2912"/>
      <c r="J7" s="2912"/>
      <c r="K7" s="2882">
        <f>J6&amp;".1"</f>
      </c>
      <c r="L7" s="1990"/>
      <c r="P7" s="2883"/>
      <c r="Q7" s="2883"/>
      <c r="R7" s="983">
        <v>1</v>
      </c>
      <c r="S7" s="2083">
        <f>$K7</f>
      </c>
      <c r="T7" s="2063"/>
      <c r="U7" s="926"/>
      <c r="V7" s="1377"/>
      <c r="W7" s="1377"/>
      <c r="X7" s="1883"/>
      <c r="Y7" s="2891"/>
      <c r="Z7" s="2733" t="s">
        <v>66</v>
      </c>
      <c r="AA7" s="2891"/>
      <c r="AB7" s="2733" t="s">
        <v>66</v>
      </c>
      <c r="AC7" s="1377"/>
      <c r="AD7" s="1377"/>
      <c r="AE7" s="1883"/>
      <c r="AF7" s="2891"/>
      <c r="AG7" s="2733" t="s">
        <v>66</v>
      </c>
      <c r="AH7" s="2913"/>
      <c r="AI7" s="2733" t="s">
        <v>66</v>
      </c>
      <c r="AJ7" s="2064"/>
      <c r="AK7"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37">
        <f>STRCHECKDATE(V8:AJ8)</f>
      </c>
      <c r="AM7" s="1126"/>
      <c r="AN7" s="1126" t="str">
        <f>IF(T7="","",T7)</f>
        <v/>
      </c>
      <c r="AO7" s="1126"/>
      <c r="AP7" s="1126"/>
      <c r="AQ7" s="1781">
        <v>0</v>
      </c>
    </row>
    <row customHeight="1" ht="14.25" hidden="1">
      <c r="A8" s="1989"/>
      <c r="B8" s="1989"/>
      <c r="C8" s="1989"/>
      <c r="D8" s="1989"/>
      <c r="E8" s="2885"/>
      <c r="F8" s="2885"/>
      <c r="G8" s="2885"/>
      <c r="H8" s="2885"/>
      <c r="I8" s="2912"/>
      <c r="J8" s="2912"/>
      <c r="K8" s="2882"/>
      <c r="L8" s="1990"/>
      <c r="P8" s="2883"/>
      <c r="Q8" s="2883"/>
      <c r="R8" s="983"/>
      <c r="S8" s="2082"/>
      <c r="T8" s="926"/>
      <c r="U8" s="926"/>
      <c r="V8" s="951"/>
      <c r="W8" s="951"/>
      <c r="X8" s="954" t="str">
        <f>Y7&amp;"-"&amp;AA7</f>
        <v>-</v>
      </c>
      <c r="Y8" s="2892"/>
      <c r="Z8" s="2733"/>
      <c r="AA8" s="2892"/>
      <c r="AB8" s="2733"/>
      <c r="AC8" s="951"/>
      <c r="AD8" s="951"/>
      <c r="AE8" s="954" t="str">
        <f>AF7&amp;"-"&amp;AH7</f>
        <v>-</v>
      </c>
      <c r="AF8" s="2892"/>
      <c r="AG8" s="2733"/>
      <c r="AH8" s="2914"/>
      <c r="AI8" s="2733"/>
      <c r="AJ8" s="2065"/>
      <c r="AK8" s="2975"/>
      <c r="AM8" s="1126"/>
      <c r="AN8" s="1126" t="str">
        <f>IF(T8="","",T8)</f>
        <v/>
      </c>
      <c r="AO8" s="1126"/>
      <c r="AP8" s="1126"/>
      <c r="AQ8" s="1781">
        <v>0</v>
      </c>
    </row>
    <row customHeight="1" ht="21" hidden="1">
      <c r="A9" s="1989"/>
      <c r="B9" s="1989"/>
      <c r="C9" s="1989"/>
      <c r="D9" s="1989"/>
      <c r="E9" s="2885"/>
      <c r="F9" s="2885"/>
      <c r="G9" s="2885"/>
      <c r="H9" s="2885"/>
      <c r="I9" s="2912"/>
      <c r="J9" s="2882"/>
      <c r="K9" s="1989"/>
      <c r="L9" s="1990"/>
      <c r="P9" s="2883"/>
      <c r="Q9" s="2883"/>
      <c r="R9" s="982"/>
      <c r="S9" s="1904"/>
      <c r="T9" s="913" t="s">
        <v>504</v>
      </c>
      <c r="U9" s="993"/>
      <c r="V9" s="993"/>
      <c r="W9" s="993"/>
      <c r="X9" s="993"/>
      <c r="Y9" s="993"/>
      <c r="Z9" s="993"/>
      <c r="AA9" s="993"/>
      <c r="AB9" s="993"/>
      <c r="AC9" s="993"/>
      <c r="AD9" s="993"/>
      <c r="AE9" s="993"/>
      <c r="AF9" s="993"/>
      <c r="AG9" s="993"/>
      <c r="AH9" s="993"/>
      <c r="AI9" s="993"/>
      <c r="AJ9" s="993"/>
      <c r="AK9" s="1884" t="s">
        <v>505</v>
      </c>
      <c r="AM9" s="1126"/>
      <c r="AN9" s="1126" t="str">
        <f>IF(T9="","",T9)</f>
        <v>Добавить значение признака дифференциации</v>
      </c>
      <c r="AO9" s="1126"/>
      <c r="AP9" s="1126"/>
      <c r="AQ9" s="1781">
        <v>0</v>
      </c>
    </row>
    <row customHeight="1" ht="21" hidden="1">
      <c r="A10" s="1989"/>
      <c r="B10" s="1989"/>
      <c r="C10" s="1989"/>
      <c r="D10" s="1989"/>
      <c r="E10" s="2885"/>
      <c r="F10" s="2885"/>
      <c r="G10" s="2885"/>
      <c r="H10" s="2885"/>
      <c r="I10" s="2882"/>
      <c r="J10" s="1989"/>
      <c r="K10" s="1989"/>
      <c r="L10" s="1990"/>
      <c r="P10" s="2883"/>
      <c r="Q10" s="2076"/>
      <c r="R10" s="982"/>
      <c r="S10" s="1904"/>
      <c r="T10" s="991" t="s">
        <v>430</v>
      </c>
      <c r="U10" s="993"/>
      <c r="V10" s="993"/>
      <c r="W10" s="993"/>
      <c r="X10" s="993"/>
      <c r="Y10" s="993"/>
      <c r="Z10" s="993"/>
      <c r="AA10" s="993"/>
      <c r="AB10" s="992"/>
      <c r="AC10" s="993"/>
      <c r="AD10" s="993"/>
      <c r="AE10" s="993"/>
      <c r="AF10" s="993"/>
      <c r="AG10" s="993"/>
      <c r="AH10" s="993"/>
      <c r="AI10" s="992"/>
      <c r="AJ10" s="993"/>
      <c r="AK10" s="2066"/>
      <c r="AM10" s="1126"/>
      <c r="AN10" s="1126" t="str">
        <f>IF(T10="","",T10)</f>
        <v>Добавить группу потребителей</v>
      </c>
      <c r="AO10" s="1126"/>
      <c r="AP10" s="1126"/>
      <c r="AQ10" s="1781">
        <v>0</v>
      </c>
    </row>
    <row customHeight="1" ht="21" hidden="1">
      <c r="A11" s="1989"/>
      <c r="B11" s="1989"/>
      <c r="C11" s="1989"/>
      <c r="D11" s="1989"/>
      <c r="E11" s="2885"/>
      <c r="F11" s="2885"/>
      <c r="G11" s="2885"/>
      <c r="H11" s="2884"/>
      <c r="I11" s="1989"/>
      <c r="J11" s="1989"/>
      <c r="K11" s="1989"/>
      <c r="L11" s="1990"/>
      <c r="M11" s="1991"/>
      <c r="N11" s="1991"/>
      <c r="O11" s="1163"/>
      <c r="P11" s="986"/>
      <c r="Q11" s="1001"/>
      <c r="R11" s="981"/>
      <c r="S11" s="1904"/>
      <c r="T11" s="998" t="s">
        <v>506</v>
      </c>
      <c r="U11" s="993"/>
      <c r="V11" s="993"/>
      <c r="W11" s="993"/>
      <c r="X11" s="993"/>
      <c r="Y11" s="993"/>
      <c r="Z11" s="993"/>
      <c r="AA11" s="993"/>
      <c r="AB11" s="992"/>
      <c r="AC11" s="993"/>
      <c r="AD11" s="993"/>
      <c r="AE11" s="993"/>
      <c r="AF11" s="993"/>
      <c r="AG11" s="993"/>
      <c r="AH11" s="993"/>
      <c r="AI11" s="992"/>
      <c r="AJ11" s="993"/>
      <c r="AK11" s="929"/>
      <c r="AM11" s="1126"/>
      <c r="AN11" s="1126" t="str">
        <f>IF(T11="","",T11)</f>
        <v>Добавить наименование признака дифференциации</v>
      </c>
      <c r="AO11" s="1126"/>
      <c r="AP11" s="1126"/>
      <c r="AQ11" s="1781">
        <v>0</v>
      </c>
    </row>
    <row s="34658" customFormat="1" customHeight="1" ht="14.25" hidden="1">
      <c r="A12" s="1969"/>
      <c r="B12" s="1969"/>
      <c r="C12" s="1940"/>
      <c r="D12" s="1940"/>
      <c r="E12" s="2885"/>
      <c r="F12" s="2884"/>
      <c r="G12" s="1940"/>
      <c r="H12" s="1940"/>
      <c r="I12" s="1940"/>
      <c r="J12" s="1940"/>
      <c r="K12" s="1940"/>
      <c r="L12" s="2084"/>
      <c r="M12" s="1947"/>
      <c r="N12" s="1947"/>
      <c r="P12" s="1942"/>
      <c r="Q12" s="1943"/>
      <c r="R12" s="1942"/>
      <c r="S12" s="1948"/>
      <c r="T12" s="1951" t="s">
        <v>433</v>
      </c>
      <c r="U12" s="1950"/>
      <c r="V12" s="1950"/>
      <c r="W12" s="1950"/>
      <c r="X12" s="1950"/>
      <c r="Y12" s="1950"/>
      <c r="Z12" s="1950"/>
      <c r="AA12" s="1950"/>
      <c r="AB12" s="1950"/>
      <c r="AC12" s="1950"/>
      <c r="AD12" s="1950"/>
      <c r="AE12" s="1950"/>
      <c r="AF12" s="1950"/>
      <c r="AG12" s="1950"/>
      <c r="AH12" s="1950"/>
      <c r="AI12" s="1950"/>
      <c r="AJ12" s="1950"/>
      <c r="AK12" s="1950"/>
      <c r="AM12" s="1415"/>
      <c r="AN12" s="1415" t="str">
        <f>IF(T12="","",T12)</f>
        <v>Добавить централизованную систему для дифференциации</v>
      </c>
      <c r="AO12" s="1415"/>
      <c r="AP12" s="1415"/>
      <c r="AQ12" s="1144">
        <v>0</v>
      </c>
    </row>
    <row s="34658" customFormat="1" customHeight="1" ht="14.25" hidden="1">
      <c r="A13" s="1969"/>
      <c r="B13" s="1969"/>
      <c r="C13" s="1969"/>
      <c r="D13" s="1969"/>
      <c r="E13" s="2884"/>
      <c r="F13" s="1969"/>
      <c r="G13" s="1969"/>
      <c r="H13" s="1969"/>
      <c r="I13" s="1969"/>
      <c r="J13" s="1969"/>
      <c r="K13" s="1969"/>
      <c r="L13" s="1972"/>
      <c r="M13" s="1947"/>
      <c r="N13" s="1947"/>
      <c r="O13" s="1144"/>
      <c r="P13" s="1006"/>
      <c r="Q13" s="1970"/>
      <c r="R13" s="1006"/>
      <c r="S13" s="1948"/>
      <c r="T13" s="1951" t="s">
        <v>434</v>
      </c>
      <c r="U13" s="1950"/>
      <c r="V13" s="1950"/>
      <c r="W13" s="1950"/>
      <c r="X13" s="1950"/>
      <c r="Y13" s="1950"/>
      <c r="Z13" s="1950"/>
      <c r="AA13" s="1950"/>
      <c r="AB13" s="1950"/>
      <c r="AC13" s="1950"/>
      <c r="AD13" s="1950"/>
      <c r="AE13" s="1950"/>
      <c r="AF13" s="1950"/>
      <c r="AG13" s="1950"/>
      <c r="AH13" s="1950"/>
      <c r="AI13" s="1950"/>
      <c r="AJ13" s="1950"/>
      <c r="AK13" s="1950"/>
      <c r="AM13" s="1126"/>
      <c r="AN13" s="1126" t="str">
        <f>IF(T13="","",T13)</f>
        <v>Добавить территорию для дифференциации</v>
      </c>
      <c r="AO13" s="1126"/>
      <c r="AP13" s="1126"/>
      <c r="AQ13" s="1137">
        <v>0</v>
      </c>
    </row>
    <row customHeight="1" ht="14.25" hidden="1">
      <c r="AB14" s="953"/>
      <c r="AI14" s="953"/>
      <c r="AQ14" s="1781">
        <v>0</v>
      </c>
    </row>
    <row customHeight="1" ht="14.25" hidden="1">
      <c r="AC15" s="1986"/>
      <c r="AD15" s="1986"/>
      <c r="AE15" s="1987"/>
      <c r="AF15" s="2893"/>
      <c r="AG15" s="2894" t="s">
        <v>66</v>
      </c>
      <c r="AH15" s="2893"/>
      <c r="AI15" s="2894" t="s">
        <v>66</v>
      </c>
      <c r="AQ15" s="1781">
        <v>0</v>
      </c>
    </row>
    <row customHeight="1" ht="14.25" hidden="1">
      <c r="AC16" s="1986"/>
      <c r="AD16" s="1986"/>
      <c r="AE16" s="954" t="str">
        <f>AF15&amp;"-"&amp;AH15</f>
        <v>-</v>
      </c>
      <c r="AF16" s="2894"/>
      <c r="AG16" s="2894"/>
      <c r="AH16" s="2894"/>
      <c r="AI16" s="2894"/>
      <c r="AQ16" s="1781">
        <v>0</v>
      </c>
    </row>
    <row customHeight="1" ht="14.25" hidden="1">
      <c r="AI17" s="953"/>
      <c r="AQ17" s="1781">
        <v>0</v>
      </c>
    </row>
    <row s="34657" customFormat="1" customHeight="1" ht="22.5" hidden="1">
      <c r="L18" s="2073"/>
      <c r="M18" s="1988"/>
      <c r="N18" s="1988"/>
      <c r="O18" s="1993" t="s">
        <v>435</v>
      </c>
      <c r="P18" s="1988"/>
      <c r="Q18" s="1997"/>
      <c r="R18" s="1997"/>
      <c r="S18" s="1355"/>
      <c r="Y18" s="1993"/>
      <c r="AA18" s="1993"/>
      <c r="AB18" s="1992"/>
      <c r="AF18" s="1993"/>
      <c r="AH18" s="1993"/>
      <c r="AI18" s="1992"/>
      <c r="AL18" s="1137"/>
      <c r="AM18" s="1137"/>
      <c r="AN18" s="1137"/>
      <c r="AO18" s="1137"/>
      <c r="AP18" s="1137"/>
      <c r="AQ18" s="1786">
        <v>0</v>
      </c>
    </row>
    <row s="34657" customFormat="1" customHeight="1" ht="14.25" hidden="1">
      <c r="L19" s="2073"/>
      <c r="M19" s="1988"/>
      <c r="N19" s="1988"/>
      <c r="O19" s="1988"/>
      <c r="P19" s="1988"/>
      <c r="Q19" s="1997"/>
      <c r="R19" s="1997"/>
      <c r="S19" s="1355"/>
      <c r="AB19" s="1992"/>
      <c r="AI19" s="1992"/>
      <c r="AL19" s="1137"/>
      <c r="AM19" s="1137"/>
      <c r="AN19" s="1137"/>
      <c r="AO19" s="1137"/>
      <c r="AP19" s="1137"/>
      <c r="AQ19" s="1786">
        <v>0</v>
      </c>
    </row>
    <row s="34657" customFormat="1" customHeight="1" ht="12" hidden="1">
      <c r="L20" s="2073"/>
      <c r="M20" s="1988"/>
      <c r="N20" s="1988"/>
      <c r="O20" s="1990" t="s">
        <v>436</v>
      </c>
      <c r="P20" s="1988"/>
      <c r="Q20" s="2068"/>
      <c r="R20" s="2068"/>
      <c r="S20" s="1355"/>
      <c r="T20" s="1786" t="s">
        <v>437</v>
      </c>
      <c r="Z20" s="812" t="s">
        <v>438</v>
      </c>
      <c r="AB20" s="812" t="s">
        <v>439</v>
      </c>
      <c r="AC20" s="1786" t="s">
        <v>437</v>
      </c>
      <c r="AG20" s="812" t="s">
        <v>440</v>
      </c>
      <c r="AI20" s="812" t="s">
        <v>439</v>
      </c>
      <c r="AQ20" s="1786">
        <v>0</v>
      </c>
    </row>
    <row customHeight="1" ht="14.25" hidden="1">
      <c r="O21" s="1990"/>
      <c r="AQ21" s="1781">
        <v>0</v>
      </c>
    </row>
    <row customHeight="1" ht="14.25" hidden="1">
      <c r="O22" s="1990"/>
      <c r="AQ22" s="1781">
        <v>0</v>
      </c>
    </row>
    <row customHeight="1" ht="14.699999999999998">
      <c r="Q23" s="1002"/>
      <c r="R23" s="1002"/>
      <c r="S23" s="1901"/>
      <c r="T23" s="989"/>
      <c r="U23" s="989"/>
      <c r="V23" s="1135"/>
      <c r="W23" s="1135"/>
      <c r="X23" s="1135"/>
      <c r="Y23" s="1135"/>
      <c r="Z23" s="1135"/>
      <c r="AA23" s="1135"/>
      <c r="AB23" s="1135"/>
      <c r="AC23" s="1135"/>
      <c r="AD23" s="1135"/>
      <c r="AE23" s="1135"/>
      <c r="AF23" s="1135"/>
      <c r="AG23" s="1135"/>
      <c r="AH23" s="1135"/>
      <c r="AI23" s="1135"/>
      <c r="AQ23" s="1781">
        <v>14</v>
      </c>
    </row>
    <row customHeight="1" ht="14.699999999999998">
      <c r="Q24" s="1002"/>
      <c r="R24" s="1002"/>
      <c r="S24" s="28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4"/>
      <c r="U24" s="2874"/>
      <c r="V24" s="2874"/>
      <c r="W24" s="2874"/>
      <c r="X24" s="2874"/>
      <c r="Y24" s="2874"/>
      <c r="Z24" s="2874"/>
      <c r="AA24" s="2874"/>
      <c r="AB24" s="2874"/>
      <c r="AC24" s="2874"/>
      <c r="AD24" s="2874"/>
      <c r="AE24" s="2874"/>
      <c r="AF24" s="2874"/>
      <c r="AG24" s="2874"/>
      <c r="AH24" s="2874"/>
      <c r="AI24" s="1869"/>
      <c r="AQ24" s="1781">
        <v>14</v>
      </c>
    </row>
    <row customHeight="1" ht="14.699999999999998">
      <c r="Q25" s="1002"/>
      <c r="R25" s="1002"/>
      <c r="S25" s="2875" t="str">
        <f>IF(org=0,"Не определено",org)</f>
        <v>АО "ДГК"</v>
      </c>
      <c r="T25" s="2875"/>
      <c r="U25" s="2875"/>
      <c r="V25" s="2875"/>
      <c r="W25" s="2875"/>
      <c r="X25" s="2875"/>
      <c r="Y25" s="2875"/>
      <c r="Z25" s="2875"/>
      <c r="AA25" s="2875"/>
      <c r="AB25" s="2875"/>
      <c r="AC25" s="2875"/>
      <c r="AD25" s="2875"/>
      <c r="AE25" s="2875"/>
      <c r="AF25" s="2875"/>
      <c r="AG25" s="2875"/>
      <c r="AH25" s="2875"/>
      <c r="AI25" s="1869"/>
      <c r="AQ25" s="1781">
        <v>14</v>
      </c>
    </row>
    <row customHeight="1" ht="14.25" hidden="1">
      <c r="Q26" s="1002"/>
      <c r="R26" s="1002"/>
      <c r="S26" s="1901"/>
      <c r="T26" s="989"/>
      <c r="U26" s="989"/>
      <c r="V26" s="948"/>
      <c r="W26" s="948"/>
      <c r="X26" s="948"/>
      <c r="Y26" s="948"/>
      <c r="Z26" s="948"/>
      <c r="AA26" s="948"/>
      <c r="AB26" s="948"/>
      <c r="AC26" s="948"/>
      <c r="AD26" s="948"/>
      <c r="AE26" s="948"/>
      <c r="AF26" s="948"/>
      <c r="AG26" s="948"/>
      <c r="AH26" s="948"/>
      <c r="AI26" s="948"/>
      <c r="AJ26" s="1135"/>
      <c r="AQ26" s="1781">
        <v>0</v>
      </c>
    </row>
    <row s="34794" customFormat="1" customHeight="1" ht="25.5" hidden="1">
      <c r="A27" s="1994"/>
      <c r="B27" s="1994"/>
      <c r="C27" s="1994"/>
      <c r="D27" s="1994"/>
      <c r="E27" s="1994"/>
      <c r="F27" s="1994"/>
      <c r="G27" s="1994"/>
      <c r="H27" s="1994"/>
      <c r="I27" s="1994"/>
      <c r="J27" s="1994"/>
      <c r="K27" s="1994"/>
      <c r="L27" s="1995"/>
      <c r="M27" s="1994"/>
      <c r="N27" s="1994"/>
      <c r="O27" s="1994"/>
      <c r="S27" s="2876" t="s">
        <v>42</v>
      </c>
      <c r="T27" s="2876"/>
      <c r="U27" s="1998"/>
      <c r="V27" s="2877" t="str">
        <f>IF(TITLE_NAME_OR_PR_CHANGE="",IF(TITLE_NAME_OR_PR="","",TITLE_NAME_OR_PR),TITLE_NAME_OR_PR_CHANGE)</f>
        <v/>
      </c>
      <c r="W27" s="2877"/>
      <c r="X27" s="2877"/>
      <c r="Y27" s="2877"/>
      <c r="Z27" s="2877"/>
      <c r="AA27" s="2877"/>
      <c r="AB27" s="952"/>
      <c r="AC27" s="2877" t="str">
        <f>IF(TITLE_NAME_OR_PR_CHANGE="",IF(TITLE_NAME_OR_PR="","",TITLE_NAME_OR_PR),TITLE_NAME_OR_PR_CHANGE)</f>
        <v/>
      </c>
      <c r="AD27" s="2877"/>
      <c r="AE27" s="2877"/>
      <c r="AF27" s="2877"/>
      <c r="AG27" s="2877"/>
      <c r="AH27" s="2877"/>
      <c r="AI27" s="952"/>
      <c r="AJ27" s="952"/>
      <c r="AK27" s="906"/>
      <c r="AL27" s="994"/>
      <c r="AM27" s="994"/>
      <c r="AN27" s="994"/>
      <c r="AO27" s="994"/>
      <c r="AP27" s="994"/>
      <c r="AQ27" s="1044">
        <v>0</v>
      </c>
    </row>
    <row s="34794" customFormat="1" customHeight="1" ht="18.75" hidden="1">
      <c r="A28" s="1994"/>
      <c r="B28" s="1994"/>
      <c r="C28" s="1994"/>
      <c r="D28" s="1994"/>
      <c r="E28" s="1994"/>
      <c r="F28" s="1994"/>
      <c r="G28" s="1994"/>
      <c r="H28" s="1994"/>
      <c r="I28" s="1994"/>
      <c r="J28" s="1994"/>
      <c r="K28" s="1994"/>
      <c r="L28" s="1995"/>
      <c r="M28" s="1994"/>
      <c r="N28" s="1994"/>
      <c r="O28" s="1994"/>
      <c r="S28" s="2876" t="s">
        <v>441</v>
      </c>
      <c r="T28" s="2876"/>
      <c r="U28" s="1998"/>
      <c r="V28" s="2890" t="str">
        <f>IF(TITLE_DATE_PR_CHANGE="",IF(TITLE_DATE_PR="","",TITLE_DATE_PR),TITLE_DATE_PR_CHANGE)</f>
        <v/>
      </c>
      <c r="W28" s="2890"/>
      <c r="X28" s="2890"/>
      <c r="Y28" s="2890"/>
      <c r="Z28" s="2890"/>
      <c r="AA28" s="2890"/>
      <c r="AB28" s="952"/>
      <c r="AC28" s="2890" t="str">
        <f>IF(TITLE_DATE_PR_CHANGE="",IF(TITLE_DATE_PR="","",TITLE_DATE_PR),TITLE_DATE_PR_CHANGE)</f>
        <v/>
      </c>
      <c r="AD28" s="2890"/>
      <c r="AE28" s="2890"/>
      <c r="AF28" s="2890"/>
      <c r="AG28" s="2890"/>
      <c r="AH28" s="2890"/>
      <c r="AI28" s="952"/>
      <c r="AJ28" s="952"/>
      <c r="AK28" s="906"/>
      <c r="AL28" s="994"/>
      <c r="AM28" s="994"/>
      <c r="AN28" s="994"/>
      <c r="AO28" s="994"/>
      <c r="AP28" s="994"/>
      <c r="AQ28" s="1044">
        <v>0</v>
      </c>
    </row>
    <row s="34794" customFormat="1" customHeight="1" ht="18.75" hidden="1">
      <c r="A29" s="1994"/>
      <c r="B29" s="1994"/>
      <c r="C29" s="1994"/>
      <c r="D29" s="1994"/>
      <c r="E29" s="1994"/>
      <c r="F29" s="1994"/>
      <c r="G29" s="1994"/>
      <c r="H29" s="1994"/>
      <c r="I29" s="1994"/>
      <c r="J29" s="1994"/>
      <c r="K29" s="1994"/>
      <c r="L29" s="1995"/>
      <c r="M29" s="1994"/>
      <c r="N29" s="1994"/>
      <c r="O29" s="1994"/>
      <c r="S29" s="2876" t="s">
        <v>442</v>
      </c>
      <c r="T29" s="2876"/>
      <c r="U29" s="1998"/>
      <c r="V29" s="2877" t="str">
        <f>IF(TITLE_NUMBER_PR_CHANGE="",IF(TITLE_NUMBER_PR="","",TITLE_NUMBER_PR),TITLE_NUMBER_PR_CHANGE)</f>
        <v/>
      </c>
      <c r="W29" s="2877"/>
      <c r="X29" s="2877"/>
      <c r="Y29" s="2877"/>
      <c r="Z29" s="2877"/>
      <c r="AA29" s="2877"/>
      <c r="AB29" s="952"/>
      <c r="AC29" s="2877" t="str">
        <f>IF(TITLE_NUMBER_PR_CHANGE="",IF(TITLE_NUMBER_PR="","",TITLE_NUMBER_PR),TITLE_NUMBER_PR_CHANGE)</f>
        <v/>
      </c>
      <c r="AD29" s="2877"/>
      <c r="AE29" s="2877"/>
      <c r="AF29" s="2877"/>
      <c r="AG29" s="2877"/>
      <c r="AH29" s="2877"/>
      <c r="AI29" s="952"/>
      <c r="AJ29" s="952"/>
      <c r="AK29" s="906"/>
      <c r="AL29" s="994"/>
      <c r="AM29" s="994"/>
      <c r="AN29" s="994"/>
      <c r="AO29" s="994"/>
      <c r="AP29" s="994"/>
      <c r="AQ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43</v>
      </c>
      <c r="T30" s="2876"/>
      <c r="U30" s="1998"/>
      <c r="V30" s="2877" t="str">
        <f>IF(TITLE_IST_PUB_CHANGE="",IF(TITLE_IST_PUB="","",TITLE_IST_PUB),TITLE_IST_PUB_CHANGE)</f>
        <v/>
      </c>
      <c r="W30" s="2877"/>
      <c r="X30" s="2877"/>
      <c r="Y30" s="2877"/>
      <c r="Z30" s="2877"/>
      <c r="AA30" s="2877"/>
      <c r="AB30" s="952"/>
      <c r="AC30" s="2877" t="str">
        <f>IF(TITLE_IST_PUB_CHANGE="",IF(TITLE_IST_PUB="","",TITLE_IST_PUB),TITLE_IST_PUB_CHANGE)</f>
        <v/>
      </c>
      <c r="AD30" s="2877"/>
      <c r="AE30" s="2877"/>
      <c r="AF30" s="2877"/>
      <c r="AG30" s="2877"/>
      <c r="AH30" s="2877"/>
      <c r="AI30" s="952"/>
      <c r="AJ30" s="952"/>
      <c r="AK30" s="906"/>
      <c r="AL30" s="994"/>
      <c r="AM30" s="994"/>
      <c r="AN30" s="994"/>
      <c r="AO30" s="994"/>
      <c r="AP30" s="994"/>
      <c r="AQ30" s="1044">
        <v>0</v>
      </c>
    </row>
    <row customHeight="1" ht="14.25" hidden="1">
      <c r="Q31" s="1002"/>
      <c r="R31" s="1002"/>
      <c r="S31" s="1901"/>
      <c r="T31" s="989"/>
      <c r="U31" s="989"/>
      <c r="V31" s="948"/>
      <c r="W31" s="948"/>
      <c r="X31" s="948"/>
      <c r="Y31" s="948"/>
      <c r="Z31" s="948"/>
      <c r="AA31" s="948"/>
      <c r="AB31" s="948"/>
      <c r="AC31" s="948"/>
      <c r="AD31" s="948"/>
      <c r="AE31" s="948"/>
      <c r="AF31" s="948"/>
      <c r="AG31" s="948"/>
      <c r="AH31" s="948"/>
      <c r="AI31" s="948"/>
      <c r="AJ31" s="1135"/>
      <c r="AQ31" s="1781">
        <v>0</v>
      </c>
    </row>
    <row s="34794" customFormat="1" customHeight="1" ht="18.75" hidden="1">
      <c r="A32" s="1994"/>
      <c r="B32" s="1994"/>
      <c r="C32" s="1994"/>
      <c r="D32" s="1994"/>
      <c r="E32" s="1994"/>
      <c r="F32" s="1994"/>
      <c r="G32" s="1994"/>
      <c r="H32" s="1994"/>
      <c r="I32" s="1994"/>
      <c r="J32" s="1994"/>
      <c r="K32" s="1994"/>
      <c r="L32" s="1995"/>
      <c r="M32" s="1994"/>
      <c r="N32" s="1994"/>
      <c r="O32" s="1994"/>
      <c r="S32" s="2876" t="s">
        <v>443</v>
      </c>
      <c r="T32" s="2876"/>
      <c r="U32" s="1998"/>
      <c r="V32" s="2890" t="str">
        <f>IF(TITLE_DATE_PR_CHANGE="",IF(TITLE_DATE_PR="","",TITLE_DATE_PR),TITLE_DATE_PR_CHANGE)</f>
        <v/>
      </c>
      <c r="W32" s="2890"/>
      <c r="X32" s="2890"/>
      <c r="Y32" s="2890"/>
      <c r="Z32" s="2890"/>
      <c r="AA32" s="2890"/>
      <c r="AB32" s="952"/>
      <c r="AC32" s="2890" t="str">
        <f>IF(TITLE_DATE_PR_CHANGE="",IF(TITLE_DATE_PR="","",TITLE_DATE_PR),TITLE_DATE_PR_CHANGE)</f>
        <v/>
      </c>
      <c r="AD32" s="2890"/>
      <c r="AE32" s="2890"/>
      <c r="AF32" s="2890"/>
      <c r="AG32" s="2890"/>
      <c r="AH32" s="2890"/>
      <c r="AI32" s="952"/>
      <c r="AJ32" s="952"/>
      <c r="AK32" s="906"/>
      <c r="AL32" s="994"/>
      <c r="AM32" s="994"/>
      <c r="AN32" s="994"/>
      <c r="AO32" s="994"/>
      <c r="AP32" s="994"/>
      <c r="AQ32" s="1044">
        <v>0</v>
      </c>
    </row>
    <row s="34794" customFormat="1" customHeight="1" ht="18.75" hidden="1">
      <c r="A33" s="1994"/>
      <c r="B33" s="1994"/>
      <c r="C33" s="1994"/>
      <c r="D33" s="1994"/>
      <c r="E33" s="1994"/>
      <c r="F33" s="1994"/>
      <c r="G33" s="1994"/>
      <c r="H33" s="1994"/>
      <c r="I33" s="1994"/>
      <c r="J33" s="1994"/>
      <c r="K33" s="1994"/>
      <c r="L33" s="1995"/>
      <c r="M33" s="1994"/>
      <c r="N33" s="1994"/>
      <c r="O33" s="1994"/>
      <c r="S33" s="2876" t="s">
        <v>444</v>
      </c>
      <c r="T33" s="2876"/>
      <c r="U33" s="1998"/>
      <c r="V33" s="2877" t="str">
        <f>IF(TITLE_NUMBER_PR_CHANGE="",IF(TITLE_NUMBER_PR="","",TITLE_NUMBER_PR),TITLE_NUMBER_PR_CHANGE)</f>
        <v/>
      </c>
      <c r="W33" s="2877"/>
      <c r="X33" s="2877"/>
      <c r="Y33" s="2877"/>
      <c r="Z33" s="2877"/>
      <c r="AA33" s="2877"/>
      <c r="AB33" s="952"/>
      <c r="AC33" s="2877" t="str">
        <f>IF(TITLE_NUMBER_PR_CHANGE="",IF(TITLE_NUMBER_PR="","",TITLE_NUMBER_PR),TITLE_NUMBER_PR_CHANGE)</f>
        <v/>
      </c>
      <c r="AD33" s="2877"/>
      <c r="AE33" s="2877"/>
      <c r="AF33" s="2877"/>
      <c r="AG33" s="2877"/>
      <c r="AH33" s="2877"/>
      <c r="AI33" s="952"/>
      <c r="AJ33" s="952"/>
      <c r="AK33" s="906"/>
      <c r="AL33" s="994"/>
      <c r="AM33" s="994"/>
      <c r="AN33" s="994"/>
      <c r="AO33" s="994"/>
      <c r="AP33" s="994"/>
      <c r="AQ33" s="1044">
        <v>0</v>
      </c>
    </row>
    <row s="34794" customFormat="1" customHeight="1" ht="1.05">
      <c r="A34" s="1994"/>
      <c r="B34" s="1994"/>
      <c r="C34" s="1994"/>
      <c r="D34" s="1994"/>
      <c r="E34" s="1994"/>
      <c r="F34" s="1994"/>
      <c r="G34" s="1994"/>
      <c r="H34" s="1994"/>
      <c r="I34" s="1994"/>
      <c r="J34" s="1994"/>
      <c r="K34" s="1994"/>
      <c r="L34" s="1995"/>
      <c r="M34" s="1994"/>
      <c r="N34" s="1994"/>
      <c r="O34" s="1994"/>
      <c r="S34" s="949"/>
      <c r="T34" s="949"/>
      <c r="U34" s="2080"/>
      <c r="V34" s="952"/>
      <c r="W34" s="952"/>
      <c r="X34" s="952"/>
      <c r="Y34" s="952"/>
      <c r="Z34" s="952"/>
      <c r="AA34" s="952"/>
      <c r="AB34" s="904" t="s">
        <v>445</v>
      </c>
      <c r="AC34" s="952"/>
      <c r="AD34" s="952"/>
      <c r="AE34" s="952"/>
      <c r="AF34" s="952"/>
      <c r="AG34" s="952"/>
      <c r="AH34" s="952"/>
      <c r="AI34" s="904" t="s">
        <v>445</v>
      </c>
      <c r="AL34" s="994"/>
      <c r="AM34" s="994"/>
      <c r="AN34" s="994"/>
      <c r="AO34" s="994"/>
      <c r="AP34" s="994"/>
      <c r="AQ34" s="1044">
        <v>1</v>
      </c>
    </row>
    <row customHeight="1" ht="14.699999999999998">
      <c r="Q35" s="1002"/>
      <c r="R35" s="1002"/>
      <c r="S35" s="1901"/>
      <c r="T35" s="989"/>
      <c r="U35" s="1870"/>
      <c r="V35" s="2878"/>
      <c r="W35" s="2878"/>
      <c r="X35" s="2878"/>
      <c r="Y35" s="2878"/>
      <c r="Z35" s="2878"/>
      <c r="AA35" s="2878"/>
      <c r="AB35" s="2878"/>
      <c r="AC35" s="2878"/>
      <c r="AD35" s="2878"/>
      <c r="AE35" s="2878"/>
      <c r="AF35" s="2878"/>
      <c r="AG35" s="2878"/>
      <c r="AH35" s="2878"/>
      <c r="AI35" s="2878"/>
      <c r="AQ35" s="1781">
        <v>14</v>
      </c>
    </row>
    <row customHeight="1" ht="14.699999999999998">
      <c r="Q36" s="1002"/>
      <c r="R36" s="1002"/>
      <c r="S36" s="2753" t="s">
        <v>318</v>
      </c>
      <c r="T36" s="2753"/>
      <c r="U36" s="2753"/>
      <c r="V36" s="2753"/>
      <c r="W36" s="2753"/>
      <c r="X36" s="2753"/>
      <c r="Y36" s="2753"/>
      <c r="Z36" s="2753"/>
      <c r="AA36" s="2753"/>
      <c r="AB36" s="2753"/>
      <c r="AC36" s="2753"/>
      <c r="AD36" s="2753"/>
      <c r="AE36" s="2753"/>
      <c r="AF36" s="2753"/>
      <c r="AG36" s="2753"/>
      <c r="AH36" s="2753"/>
      <c r="AI36" s="2753"/>
      <c r="AJ36" s="2753"/>
      <c r="AK36" s="2753" t="s">
        <v>319</v>
      </c>
      <c r="AQ36" s="1781">
        <v>14</v>
      </c>
    </row>
    <row customHeight="1" ht="14.699999999999998">
      <c r="Q37" s="1002"/>
      <c r="R37" s="1002"/>
      <c r="S37" s="2899" t="s">
        <v>88</v>
      </c>
      <c r="T37" s="2835" t="s">
        <v>446</v>
      </c>
      <c r="U37" s="927"/>
      <c r="V37" s="2900" t="s">
        <v>447</v>
      </c>
      <c r="W37" s="2901"/>
      <c r="X37" s="2901"/>
      <c r="Y37" s="2901"/>
      <c r="Z37" s="2901"/>
      <c r="AA37" s="2902"/>
      <c r="AB37" s="2903" t="s">
        <v>448</v>
      </c>
      <c r="AC37" s="2900" t="s">
        <v>447</v>
      </c>
      <c r="AD37" s="2901"/>
      <c r="AE37" s="2901"/>
      <c r="AF37" s="2901"/>
      <c r="AG37" s="2901"/>
      <c r="AH37" s="2902"/>
      <c r="AI37" s="2903" t="s">
        <v>449</v>
      </c>
      <c r="AJ37" s="2906" t="s">
        <v>450</v>
      </c>
      <c r="AK37" s="2753"/>
      <c r="AQ37" s="1781">
        <v>14</v>
      </c>
    </row>
    <row customHeight="1" ht="35.699999999999996">
      <c r="Q38" s="1002"/>
      <c r="R38" s="1002"/>
      <c r="S38" s="2899"/>
      <c r="T38" s="2835"/>
      <c r="U38" s="1657"/>
      <c r="V38" s="2078" t="s">
        <v>507</v>
      </c>
      <c r="W38" s="2888" t="s">
        <v>453</v>
      </c>
      <c r="X38" s="2889"/>
      <c r="Y38" s="2888" t="s">
        <v>454</v>
      </c>
      <c r="Z38" s="2895"/>
      <c r="AA38" s="2889"/>
      <c r="AB38" s="2904"/>
      <c r="AC38" s="2078" t="s">
        <v>507</v>
      </c>
      <c r="AD38" s="2888" t="s">
        <v>453</v>
      </c>
      <c r="AE38" s="2889"/>
      <c r="AF38" s="2888" t="s">
        <v>454</v>
      </c>
      <c r="AG38" s="2895"/>
      <c r="AH38" s="2889"/>
      <c r="AI38" s="2904"/>
      <c r="AJ38" s="2907"/>
      <c r="AK38" s="2753"/>
      <c r="AQ38" s="1781">
        <v>34</v>
      </c>
    </row>
    <row customHeight="1" ht="35.699999999999996">
      <c r="A39" s="1996"/>
      <c r="B39" s="1996" t="s">
        <v>155</v>
      </c>
      <c r="C39" s="1996" t="s">
        <v>156</v>
      </c>
      <c r="D39" s="1996" t="s">
        <v>157</v>
      </c>
      <c r="E39" s="1990" t="s">
        <v>455</v>
      </c>
      <c r="F39" s="1990" t="s">
        <v>456</v>
      </c>
      <c r="G39" s="1990" t="s">
        <v>457</v>
      </c>
      <c r="H39" s="1990"/>
      <c r="I39" s="1990" t="s">
        <v>508</v>
      </c>
      <c r="J39" s="1990" t="s">
        <v>460</v>
      </c>
      <c r="K39" s="1990" t="s">
        <v>509</v>
      </c>
      <c r="L39" s="1990" t="s">
        <v>436</v>
      </c>
      <c r="Q39" s="1002"/>
      <c r="R39" s="1002"/>
      <c r="S39" s="2899"/>
      <c r="T39" s="2835"/>
      <c r="U39" s="928"/>
      <c r="V39" s="2078" t="s">
        <v>510</v>
      </c>
      <c r="W39" s="1848" t="s">
        <v>511</v>
      </c>
      <c r="X39" s="1848" t="s">
        <v>512</v>
      </c>
      <c r="Y39" s="2081" t="s">
        <v>464</v>
      </c>
      <c r="Z39" s="2896" t="s">
        <v>465</v>
      </c>
      <c r="AA39" s="2897"/>
      <c r="AB39" s="2905"/>
      <c r="AC39" s="2078" t="s">
        <v>510</v>
      </c>
      <c r="AD39" s="1848" t="s">
        <v>511</v>
      </c>
      <c r="AE39" s="1848" t="s">
        <v>512</v>
      </c>
      <c r="AF39" s="2081" t="s">
        <v>464</v>
      </c>
      <c r="AG39" s="2896" t="s">
        <v>465</v>
      </c>
      <c r="AH39" s="2897"/>
      <c r="AI39" s="2905"/>
      <c r="AJ39" s="2908"/>
      <c r="AK39" s="2753"/>
      <c r="AQ39" s="1781">
        <v>34</v>
      </c>
    </row>
    <row s="35197" customFormat="1" customHeight="1" ht="0">
      <c r="A40" s="1996"/>
      <c r="B40" s="1996"/>
      <c r="C40" s="1996"/>
      <c r="D40" s="1996"/>
      <c r="E40" s="1996"/>
      <c r="F40" s="1996"/>
      <c r="G40" s="1996"/>
      <c r="H40" s="1996"/>
      <c r="I40" s="1996"/>
      <c r="J40" s="1996"/>
      <c r="K40" s="1996"/>
      <c r="L40" s="1990"/>
      <c r="M40" s="1988"/>
      <c r="N40" s="1988"/>
      <c r="O40" s="1988"/>
      <c r="P40" s="1872"/>
      <c r="Q40" s="1873"/>
      <c r="R40" s="1880">
        <v>1</v>
      </c>
      <c r="S40" s="1903" t="s">
        <v>118</v>
      </c>
      <c r="T40" s="1881" t="s">
        <v>102</v>
      </c>
      <c r="U40" s="1871" t="str">
        <f>OFFSET(U40,0,-1)</f>
        <v>2</v>
      </c>
      <c r="V40" s="2077">
        <f>OFFSET(V40,0,-1)+1</f>
        <v>3</v>
      </c>
      <c r="W40" s="2077">
        <f>OFFSET(W40,0,-1)+1</f>
        <v>4</v>
      </c>
      <c r="X40" s="2077">
        <f>OFFSET(X40,0,-1)+1</f>
        <v>5</v>
      </c>
      <c r="Y40" s="2077">
        <f>OFFSET(Y40,0,-1)+1</f>
        <v>6</v>
      </c>
      <c r="Z40" s="2898">
        <f>OFFSET(Z40,0,-1)+1</f>
        <v>7</v>
      </c>
      <c r="AA40" s="2898"/>
      <c r="AB40" s="2077">
        <f>OFFSET(AB40,0,-2)+1</f>
        <v>8</v>
      </c>
      <c r="AC40" s="2077">
        <f>OFFSET(AC40,0,-1)+1</f>
        <v>9</v>
      </c>
      <c r="AD40" s="2077">
        <f>OFFSET(AD40,0,-1)+1</f>
        <v>10</v>
      </c>
      <c r="AE40" s="2077">
        <f>OFFSET(AE40,0,-1)+1</f>
        <v>11</v>
      </c>
      <c r="AF40" s="2077">
        <f>OFFSET(AF40,0,-1)+1</f>
        <v>12</v>
      </c>
      <c r="AG40" s="2898">
        <f>OFFSET(AG40,0,-1)+1</f>
        <v>13</v>
      </c>
      <c r="AH40" s="2898"/>
      <c r="AI40" s="2077">
        <f>OFFSET(AI40,0,-2)+1</f>
        <v>14</v>
      </c>
      <c r="AJ40" s="1871">
        <f>OFFSET(AJ40,0,-1)</f>
        <v>14</v>
      </c>
      <c r="AK40" s="2077">
        <f>OFFSET(AK40,0,-1)+1</f>
        <v>15</v>
      </c>
      <c r="AL40" s="1137"/>
      <c r="AM40" s="1137"/>
      <c r="AN40" s="1137"/>
      <c r="AO40" s="1137"/>
      <c r="AP40" s="1137"/>
      <c r="AQ40" s="1122">
        <v>0</v>
      </c>
    </row>
    <row customHeight="1" ht="24">
      <c r="A41" s="1989" t="s">
        <v>249</v>
      </c>
      <c r="B41" s="1989"/>
      <c r="C41" s="1989"/>
      <c r="D41" s="1989"/>
      <c r="E41" s="2884">
        <v>1</v>
      </c>
      <c r="F41" s="1989"/>
      <c r="G41" s="1989"/>
      <c r="H41" s="1989"/>
      <c r="I41" s="1989"/>
      <c r="J41" s="1989"/>
      <c r="K41" s="1989"/>
      <c r="L41" s="1990"/>
      <c r="M41" s="1991"/>
      <c r="N41" s="1991"/>
      <c r="O41" s="1991"/>
      <c r="P41" s="987"/>
      <c r="Q41" s="986"/>
      <c r="R41" s="981"/>
      <c r="S41" s="2083">
        <f>INDEX(PT_DIFFERENTIATION_NUM_NTAR,MATCH(A41,PT_DIFFERENTIATION_NTAR_ID,0))</f>
        <v>0</v>
      </c>
      <c r="T41" s="924" t="s">
        <v>143</v>
      </c>
      <c r="U41" s="926"/>
      <c r="V41" s="2868"/>
      <c r="W41" s="2869"/>
      <c r="X41" s="2869"/>
      <c r="Y41" s="2869"/>
      <c r="Z41" s="2869"/>
      <c r="AA41" s="2869"/>
      <c r="AB41" s="2870"/>
      <c r="AC41" s="2868" t="str">
        <f>INDEX(PT_DIFFERENTIATION_NTAR,MATCH(A41,PT_DIFFERENTIATION_NTAR_ID,0))</f>
        <v/>
      </c>
      <c r="AD41" s="2869"/>
      <c r="AE41" s="2869"/>
      <c r="AF41" s="2869"/>
      <c r="AG41" s="2869"/>
      <c r="AH41" s="2869"/>
      <c r="AI41" s="2869"/>
      <c r="AJ41" s="2870"/>
      <c r="AK41"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26"/>
      <c r="AN41" s="1126" t="str">
        <f>IF(T41="","",T41)</f>
        <v>Наименование тарифа</v>
      </c>
      <c r="AO41" s="1126"/>
      <c r="AP41" s="1126"/>
      <c r="AQ41" s="1781">
        <v>23</v>
      </c>
    </row>
    <row customHeight="1" ht="24">
      <c r="A42" s="1989" t="s">
        <v>249</v>
      </c>
      <c r="B42" s="1989" t="s">
        <v>250</v>
      </c>
      <c r="C42" s="1989"/>
      <c r="D42" s="1989"/>
      <c r="E42" s="2885"/>
      <c r="F42" s="2884">
        <v>1</v>
      </c>
      <c r="G42" s="1989"/>
      <c r="H42" s="1989"/>
      <c r="I42" s="1989"/>
      <c r="J42" s="1989"/>
      <c r="K42" s="1989"/>
      <c r="L42" s="1990"/>
      <c r="M42" s="1991"/>
      <c r="N42" s="1991"/>
      <c r="O42" s="1991"/>
      <c r="P42" s="2079"/>
      <c r="Q42" s="978"/>
      <c r="R42" s="979"/>
      <c r="S42" s="2083" t="str">
        <f>INDEX(PT_DIFFERENTIATION_NUM_TER,MATCH(B42,PT_DIFFERENTIATION_TER_ID,0))</f>
        <v>.</v>
      </c>
      <c r="T42" s="934" t="s">
        <v>415</v>
      </c>
      <c r="U42" s="926"/>
      <c r="V42" s="2868"/>
      <c r="W42" s="2869"/>
      <c r="X42" s="2869"/>
      <c r="Y42" s="2869"/>
      <c r="Z42" s="2869"/>
      <c r="AA42" s="2869"/>
      <c r="AB42" s="2870"/>
      <c r="AC42" s="2868" t="str">
        <f>INDEX(PT_DIFFERENTIATION_TER,MATCH(B42,PT_DIFFERENTIATION_TER_ID,0))</f>
        <v/>
      </c>
      <c r="AD42" s="2869"/>
      <c r="AE42" s="2869"/>
      <c r="AF42" s="2869"/>
      <c r="AG42" s="2869"/>
      <c r="AH42" s="2869"/>
      <c r="AI42" s="2869"/>
      <c r="AJ42" s="2870"/>
      <c r="AK42" s="1884" t="s">
        <v>416</v>
      </c>
      <c r="AM42" s="1126"/>
      <c r="AN42" s="1126" t="str">
        <f>IF(T42="","",T42)</f>
        <v>Территория действия тарифа</v>
      </c>
      <c r="AO42" s="1126"/>
      <c r="AP42" s="1126"/>
      <c r="AQ42" s="1781">
        <v>23</v>
      </c>
    </row>
    <row customHeight="1" ht="24">
      <c r="A43" s="1989" t="s">
        <v>249</v>
      </c>
      <c r="B43" s="1989" t="s">
        <v>250</v>
      </c>
      <c r="C43" s="1989" t="s">
        <v>251</v>
      </c>
      <c r="D43" s="1989"/>
      <c r="E43" s="2885"/>
      <c r="F43" s="2885"/>
      <c r="G43" s="2884">
        <v>1</v>
      </c>
      <c r="H43" s="1989"/>
      <c r="I43" s="1989"/>
      <c r="J43" s="1989"/>
      <c r="K43" s="1989"/>
      <c r="L43" s="1990"/>
      <c r="M43" s="1991"/>
      <c r="N43" s="1991"/>
      <c r="O43" s="1991"/>
      <c r="P43" s="980"/>
      <c r="Q43" s="978"/>
      <c r="R43" s="979"/>
      <c r="S43" s="2083" t="str">
        <f>INDEX(PT_DIFFERENTIATION_NUM_CS,MATCH(C43,PT_DIFFERENTIATION_CS_ID,0))</f>
        <v>..</v>
      </c>
      <c r="T43" s="935" t="s">
        <v>499</v>
      </c>
      <c r="U43" s="926"/>
      <c r="V43" s="2868"/>
      <c r="W43" s="2869"/>
      <c r="X43" s="2869"/>
      <c r="Y43" s="2869"/>
      <c r="Z43" s="2869"/>
      <c r="AA43" s="2869"/>
      <c r="AB43" s="2870"/>
      <c r="AC43" s="2868" t="str">
        <f>INDEX(PT_DIFFERENTIATION_CS,MATCH(C43,PT_DIFFERENTIATION_CS_ID,0))</f>
        <v/>
      </c>
      <c r="AD43" s="2869"/>
      <c r="AE43" s="2869"/>
      <c r="AF43" s="2869"/>
      <c r="AG43" s="2869"/>
      <c r="AH43" s="2869"/>
      <c r="AI43" s="2869"/>
      <c r="AJ43" s="2870"/>
      <c r="AK43" s="1884" t="s">
        <v>500</v>
      </c>
      <c r="AM43" s="1126"/>
      <c r="AN43" s="1126" t="str">
        <f>IF(T43="","",T43)</f>
        <v>Наименование централизованной системы холодного водоснабжения</v>
      </c>
      <c r="AO43" s="1126"/>
      <c r="AP43" s="1126"/>
      <c r="AQ43" s="1781">
        <v>23</v>
      </c>
    </row>
    <row customHeight="1" ht="24">
      <c r="A44" s="1989" t="s">
        <v>249</v>
      </c>
      <c r="B44" s="1989" t="s">
        <v>250</v>
      </c>
      <c r="C44" s="1989" t="s">
        <v>251</v>
      </c>
      <c r="D44" s="1989" t="s">
        <v>514</v>
      </c>
      <c r="E44" s="2885"/>
      <c r="F44" s="2885"/>
      <c r="G44" s="2885"/>
      <c r="H44" s="2885"/>
      <c r="I44" s="2882" t="str">
        <f>S43&amp;".1"</f>
        <v>...1</v>
      </c>
      <c r="J44" s="1989"/>
      <c r="K44" s="1989"/>
      <c r="L44" s="1990"/>
      <c r="P44" s="2883">
        <v>1</v>
      </c>
      <c r="Q44" s="2076"/>
      <c r="R44" s="982"/>
      <c r="S44" s="2083" t="str">
        <f>$I44</f>
        <v>...1</v>
      </c>
      <c r="T44" s="911" t="s">
        <v>501</v>
      </c>
      <c r="U44" s="926"/>
      <c r="V44" s="2976"/>
      <c r="W44" s="2977"/>
      <c r="X44" s="2977"/>
      <c r="Y44" s="2977"/>
      <c r="Z44" s="2977"/>
      <c r="AA44" s="2977"/>
      <c r="AB44" s="2978"/>
      <c r="AC44" s="2979"/>
      <c r="AD44" s="2980"/>
      <c r="AE44" s="2980"/>
      <c r="AF44" s="2980"/>
      <c r="AG44" s="2980"/>
      <c r="AH44" s="2980"/>
      <c r="AI44" s="2980"/>
      <c r="AJ44" s="2981"/>
      <c r="AK44" s="1884" t="s">
        <v>502</v>
      </c>
      <c r="AM44" s="1126"/>
      <c r="AN44" s="1126" t="str">
        <f>IF(T44="","",T44)</f>
        <v>Наименование признака дифференциации</v>
      </c>
      <c r="AO44" s="1126"/>
      <c r="AP44" s="1126"/>
      <c r="AQ44" s="1781">
        <v>23</v>
      </c>
    </row>
    <row customHeight="1" ht="24">
      <c r="A45" s="1989" t="s">
        <v>249</v>
      </c>
      <c r="B45" s="1989" t="s">
        <v>250</v>
      </c>
      <c r="C45" s="1989" t="s">
        <v>251</v>
      </c>
      <c r="D45" s="1989" t="s">
        <v>514</v>
      </c>
      <c r="E45" s="2885"/>
      <c r="F45" s="2885"/>
      <c r="G45" s="2885"/>
      <c r="H45" s="2885"/>
      <c r="I45" s="2912"/>
      <c r="J45" s="2882" t="str">
        <f>I44&amp;".1"</f>
        <v>...1.1</v>
      </c>
      <c r="K45" s="1989"/>
      <c r="L45" s="1990" t="s">
        <v>424</v>
      </c>
      <c r="P45" s="2883"/>
      <c r="Q45" s="2883">
        <v>1</v>
      </c>
      <c r="R45" s="983"/>
      <c r="S45" s="2083" t="str">
        <f>$J45</f>
        <v>...1.1</v>
      </c>
      <c r="T45" s="912" t="s">
        <v>425</v>
      </c>
      <c r="U45" s="926"/>
      <c r="V45" s="2871"/>
      <c r="W45" s="2872"/>
      <c r="X45" s="2872"/>
      <c r="Y45" s="2872"/>
      <c r="Z45" s="2872"/>
      <c r="AA45" s="2872"/>
      <c r="AB45" s="2873"/>
      <c r="AC45" s="2871"/>
      <c r="AD45" s="2872"/>
      <c r="AE45" s="2872"/>
      <c r="AF45" s="2872"/>
      <c r="AG45" s="2872"/>
      <c r="AH45" s="2872"/>
      <c r="AI45" s="2872"/>
      <c r="AJ45" s="2873"/>
      <c r="AK45" s="1933" t="s">
        <v>503</v>
      </c>
      <c r="AM45" s="1126"/>
      <c r="AN45" s="1126" t="str">
        <f>IF(T45="","",T45)</f>
        <v>Группа потребителей</v>
      </c>
      <c r="AO45" s="1126"/>
      <c r="AP45" s="1126"/>
      <c r="AQ45" s="1781">
        <v>23</v>
      </c>
    </row>
    <row customHeight="1" ht="24">
      <c r="A46" s="1989" t="s">
        <v>249</v>
      </c>
      <c r="B46" s="1989" t="s">
        <v>250</v>
      </c>
      <c r="C46" s="1989" t="s">
        <v>251</v>
      </c>
      <c r="D46" s="1989" t="s">
        <v>514</v>
      </c>
      <c r="E46" s="2885"/>
      <c r="F46" s="2885"/>
      <c r="G46" s="2885"/>
      <c r="H46" s="2885"/>
      <c r="I46" s="2912"/>
      <c r="J46" s="2912"/>
      <c r="K46" s="2882" t="str">
        <f>J45&amp;".1"</f>
        <v>...1.1.1</v>
      </c>
      <c r="L46" s="1990"/>
      <c r="P46" s="2883"/>
      <c r="Q46" s="2883"/>
      <c r="R46" s="983">
        <v>1</v>
      </c>
      <c r="S46" s="2083" t="str">
        <f>$K46</f>
        <v>...1.1.1</v>
      </c>
      <c r="T46" s="2063"/>
      <c r="U46" s="926"/>
      <c r="V46" s="1377"/>
      <c r="W46" s="1377"/>
      <c r="X46" s="1883"/>
      <c r="Y46" s="2891"/>
      <c r="Z46" s="2733" t="s">
        <v>66</v>
      </c>
      <c r="AA46" s="2891"/>
      <c r="AB46" s="2733" t="s">
        <v>66</v>
      </c>
      <c r="AC46" s="1377"/>
      <c r="AD46" s="1377"/>
      <c r="AE46" s="1883"/>
      <c r="AF46" s="2891"/>
      <c r="AG46" s="2733" t="s">
        <v>66</v>
      </c>
      <c r="AH46" s="2913"/>
      <c r="AI46" s="2733" t="s">
        <v>66</v>
      </c>
      <c r="AJ46" s="2064"/>
      <c r="AK46"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37">
        <f>STRCHECKDATE(V47:AJ47)</f>
      </c>
      <c r="AM46" s="1126"/>
      <c r="AN46" s="1126" t="str">
        <f>IF(T46="","",T46)</f>
        <v/>
      </c>
      <c r="AO46" s="1126"/>
      <c r="AP46" s="1126"/>
      <c r="AQ46" s="1781">
        <v>23</v>
      </c>
    </row>
    <row customHeight="1" ht="0">
      <c r="A47" s="1989" t="s">
        <v>249</v>
      </c>
      <c r="B47" s="1989" t="s">
        <v>250</v>
      </c>
      <c r="C47" s="1989" t="s">
        <v>251</v>
      </c>
      <c r="D47" s="1989" t="s">
        <v>514</v>
      </c>
      <c r="E47" s="2885"/>
      <c r="F47" s="2885"/>
      <c r="G47" s="2885"/>
      <c r="H47" s="2885"/>
      <c r="I47" s="2912"/>
      <c r="J47" s="2912"/>
      <c r="K47" s="2882"/>
      <c r="L47" s="1990"/>
      <c r="P47" s="2883"/>
      <c r="Q47" s="2883"/>
      <c r="R47" s="983"/>
      <c r="S47" s="2082"/>
      <c r="T47" s="926"/>
      <c r="U47" s="926"/>
      <c r="V47" s="951"/>
      <c r="W47" s="951"/>
      <c r="X47" s="954" t="str">
        <f>Y46&amp;"-"&amp;AA46</f>
        <v>-</v>
      </c>
      <c r="Y47" s="2892"/>
      <c r="Z47" s="2733"/>
      <c r="AA47" s="2892"/>
      <c r="AB47" s="2733"/>
      <c r="AC47" s="951"/>
      <c r="AD47" s="951"/>
      <c r="AE47" s="954" t="str">
        <f>AF46&amp;"-"&amp;AH46</f>
        <v>-</v>
      </c>
      <c r="AF47" s="2892"/>
      <c r="AG47" s="2733"/>
      <c r="AH47" s="2914"/>
      <c r="AI47" s="2733"/>
      <c r="AJ47" s="2065"/>
      <c r="AK47" s="2975"/>
      <c r="AM47" s="1126"/>
      <c r="AN47" s="1126" t="str">
        <f>IF(T47="","",T47)</f>
        <v/>
      </c>
      <c r="AO47" s="1126"/>
      <c r="AP47" s="1126"/>
      <c r="AQ47" s="1781">
        <v>0</v>
      </c>
    </row>
    <row customHeight="1" ht="21">
      <c r="A48" s="1989" t="s">
        <v>249</v>
      </c>
      <c r="B48" s="1989" t="s">
        <v>250</v>
      </c>
      <c r="C48" s="1989" t="s">
        <v>251</v>
      </c>
      <c r="D48" s="1989" t="s">
        <v>514</v>
      </c>
      <c r="E48" s="2885"/>
      <c r="F48" s="2885"/>
      <c r="G48" s="2885"/>
      <c r="H48" s="2885"/>
      <c r="I48" s="2912"/>
      <c r="J48" s="2882"/>
      <c r="K48" s="1989"/>
      <c r="L48" s="1990"/>
      <c r="P48" s="2883"/>
      <c r="Q48" s="2883"/>
      <c r="R48" s="982"/>
      <c r="S48" s="1904"/>
      <c r="T48" s="913" t="s">
        <v>504</v>
      </c>
      <c r="U48" s="993"/>
      <c r="V48" s="993"/>
      <c r="W48" s="993"/>
      <c r="X48" s="993"/>
      <c r="Y48" s="993"/>
      <c r="Z48" s="993"/>
      <c r="AA48" s="993"/>
      <c r="AB48" s="993"/>
      <c r="AC48" s="993"/>
      <c r="AD48" s="993"/>
      <c r="AE48" s="993"/>
      <c r="AF48" s="993"/>
      <c r="AG48" s="993"/>
      <c r="AH48" s="993"/>
      <c r="AI48" s="993"/>
      <c r="AJ48" s="993"/>
      <c r="AK48" s="1884" t="s">
        <v>505</v>
      </c>
      <c r="AM48" s="1126"/>
      <c r="AN48" s="1126" t="str">
        <f>IF(T48="","",T48)</f>
        <v>Добавить значение признака дифференциации</v>
      </c>
      <c r="AO48" s="1126"/>
      <c r="AP48" s="1126"/>
      <c r="AQ48" s="1781">
        <v>20</v>
      </c>
    </row>
    <row customHeight="1" ht="22.049999999999997">
      <c r="A49" s="1989" t="s">
        <v>249</v>
      </c>
      <c r="B49" s="1989" t="s">
        <v>250</v>
      </c>
      <c r="C49" s="1989" t="s">
        <v>251</v>
      </c>
      <c r="D49" s="1989" t="s">
        <v>514</v>
      </c>
      <c r="E49" s="2885"/>
      <c r="F49" s="2885"/>
      <c r="G49" s="2885"/>
      <c r="H49" s="2885"/>
      <c r="I49" s="2882"/>
      <c r="J49" s="1989"/>
      <c r="K49" s="1989"/>
      <c r="L49" s="1990"/>
      <c r="P49" s="2883"/>
      <c r="Q49" s="2076"/>
      <c r="R49" s="982"/>
      <c r="S49" s="1904"/>
      <c r="T49" s="991" t="s">
        <v>430</v>
      </c>
      <c r="U49" s="993"/>
      <c r="V49" s="993"/>
      <c r="W49" s="993"/>
      <c r="X49" s="993"/>
      <c r="Y49" s="993"/>
      <c r="Z49" s="993"/>
      <c r="AA49" s="993"/>
      <c r="AB49" s="992"/>
      <c r="AC49" s="993"/>
      <c r="AD49" s="993"/>
      <c r="AE49" s="993"/>
      <c r="AF49" s="993"/>
      <c r="AG49" s="993"/>
      <c r="AH49" s="993"/>
      <c r="AI49" s="992"/>
      <c r="AJ49" s="993"/>
      <c r="AK49" s="2066"/>
      <c r="AM49" s="1126"/>
      <c r="AN49" s="1126" t="str">
        <f>IF(T49="","",T49)</f>
        <v>Добавить группу потребителей</v>
      </c>
      <c r="AO49" s="1126"/>
      <c r="AP49" s="1126"/>
      <c r="AQ49" s="1781">
        <v>21</v>
      </c>
    </row>
    <row customHeight="1" ht="22.049999999999997">
      <c r="A50" s="1989" t="s">
        <v>249</v>
      </c>
      <c r="B50" s="1989" t="s">
        <v>250</v>
      </c>
      <c r="C50" s="1989" t="s">
        <v>251</v>
      </c>
      <c r="D50" s="1989" t="s">
        <v>514</v>
      </c>
      <c r="E50" s="2885"/>
      <c r="F50" s="2885"/>
      <c r="G50" s="2885"/>
      <c r="H50" s="2884"/>
      <c r="I50" s="1989"/>
      <c r="J50" s="1989"/>
      <c r="K50" s="1989"/>
      <c r="L50" s="1990"/>
      <c r="M50" s="1991"/>
      <c r="N50" s="1991"/>
      <c r="O50" s="1163"/>
      <c r="P50" s="986"/>
      <c r="Q50" s="1001"/>
      <c r="R50" s="981"/>
      <c r="S50" s="1904"/>
      <c r="T50" s="998" t="s">
        <v>506</v>
      </c>
      <c r="U50" s="993"/>
      <c r="V50" s="993"/>
      <c r="W50" s="993"/>
      <c r="X50" s="993"/>
      <c r="Y50" s="993"/>
      <c r="Z50" s="993"/>
      <c r="AA50" s="993"/>
      <c r="AB50" s="992"/>
      <c r="AC50" s="993"/>
      <c r="AD50" s="993"/>
      <c r="AE50" s="993"/>
      <c r="AF50" s="993"/>
      <c r="AG50" s="993"/>
      <c r="AH50" s="993"/>
      <c r="AI50" s="992"/>
      <c r="AJ50" s="993"/>
      <c r="AK50" s="929"/>
      <c r="AM50" s="1126"/>
      <c r="AN50" s="1126" t="str">
        <f>IF(T50="","",T50)</f>
        <v>Добавить наименование признака дифференциации</v>
      </c>
      <c r="AO50" s="1126"/>
      <c r="AP50" s="1126"/>
      <c r="AQ50" s="1781">
        <v>21</v>
      </c>
    </row>
    <row s="34658" customFormat="1" customHeight="1" ht="0">
      <c r="A51" s="1969" t="s">
        <v>249</v>
      </c>
      <c r="B51" s="1969" t="s">
        <v>250</v>
      </c>
      <c r="C51" s="1940"/>
      <c r="D51" s="1940"/>
      <c r="E51" s="2885"/>
      <c r="F51" s="2884"/>
      <c r="G51" s="1940"/>
      <c r="H51" s="1940"/>
      <c r="I51" s="1940"/>
      <c r="J51" s="1940"/>
      <c r="K51" s="1940"/>
      <c r="L51" s="2084"/>
      <c r="M51" s="1947"/>
      <c r="N51" s="1947"/>
      <c r="P51" s="1942"/>
      <c r="Q51" s="1943"/>
      <c r="R51" s="1942"/>
      <c r="S51" s="1948"/>
      <c r="T51" s="1951" t="s">
        <v>433</v>
      </c>
      <c r="U51" s="1950"/>
      <c r="V51" s="1950"/>
      <c r="W51" s="1950"/>
      <c r="X51" s="1950"/>
      <c r="Y51" s="1950"/>
      <c r="Z51" s="1950"/>
      <c r="AA51" s="1950"/>
      <c r="AB51" s="1950"/>
      <c r="AC51" s="1950"/>
      <c r="AD51" s="1950"/>
      <c r="AE51" s="1950"/>
      <c r="AF51" s="1950"/>
      <c r="AG51" s="1950"/>
      <c r="AH51" s="1950"/>
      <c r="AI51" s="1950"/>
      <c r="AJ51" s="1950"/>
      <c r="AK51" s="1950"/>
      <c r="AM51" s="1415"/>
      <c r="AN51" s="1415" t="str">
        <f>IF(T51="","",T51)</f>
        <v>Добавить централизованную систему для дифференциации</v>
      </c>
      <c r="AO51" s="1415"/>
      <c r="AP51" s="1415"/>
      <c r="AQ51" s="1144">
        <v>0</v>
      </c>
    </row>
    <row s="34658" customFormat="1" customHeight="1" ht="0">
      <c r="A52" s="1969" t="s">
        <v>249</v>
      </c>
      <c r="B52" s="1969"/>
      <c r="C52" s="1969"/>
      <c r="D52" s="1969"/>
      <c r="E52" s="2884"/>
      <c r="F52" s="1969"/>
      <c r="G52" s="1969"/>
      <c r="H52" s="1969"/>
      <c r="I52" s="1969"/>
      <c r="J52" s="1969"/>
      <c r="K52" s="1969"/>
      <c r="L52" s="1972"/>
      <c r="M52" s="1947"/>
      <c r="N52" s="1947"/>
      <c r="O52" s="1144"/>
      <c r="P52" s="1006"/>
      <c r="Q52" s="1970"/>
      <c r="R52" s="1006"/>
      <c r="S52" s="1948"/>
      <c r="T52" s="1951" t="s">
        <v>434</v>
      </c>
      <c r="U52" s="1950"/>
      <c r="V52" s="1950"/>
      <c r="W52" s="1950"/>
      <c r="X52" s="1950"/>
      <c r="Y52" s="1950"/>
      <c r="Z52" s="1950"/>
      <c r="AA52" s="1950"/>
      <c r="AB52" s="1950"/>
      <c r="AC52" s="1950"/>
      <c r="AD52" s="1950"/>
      <c r="AE52" s="1950"/>
      <c r="AF52" s="1950"/>
      <c r="AG52" s="1950"/>
      <c r="AH52" s="1950"/>
      <c r="AI52" s="1950"/>
      <c r="AJ52" s="1950"/>
      <c r="AK52" s="1950"/>
      <c r="AM52" s="1126"/>
      <c r="AN52" s="1126" t="str">
        <f>IF(T52="","",T52)</f>
        <v>Добавить территорию для дифференциации</v>
      </c>
      <c r="AO52" s="1126"/>
      <c r="AP52" s="1126"/>
      <c r="AQ52" s="1137">
        <v>0</v>
      </c>
    </row>
    <row s="34658" customFormat="1" customHeight="1" ht="0">
      <c r="A53" s="1940"/>
      <c r="B53" s="1940"/>
      <c r="C53" s="1940"/>
      <c r="D53" s="1940"/>
      <c r="E53" s="1969"/>
      <c r="F53" s="1940"/>
      <c r="G53" s="1940"/>
      <c r="H53" s="1940"/>
      <c r="I53" s="1940"/>
      <c r="J53" s="1940"/>
      <c r="K53" s="1940"/>
      <c r="L53" s="2084"/>
      <c r="M53" s="1947"/>
      <c r="N53" s="1947"/>
      <c r="P53" s="1942"/>
      <c r="Q53" s="1943"/>
      <c r="R53" s="1942"/>
      <c r="S53" s="1948"/>
      <c r="T53" s="1951" t="s">
        <v>466</v>
      </c>
      <c r="U53" s="1950"/>
      <c r="V53" s="1950"/>
      <c r="W53" s="1950"/>
      <c r="X53" s="1950"/>
      <c r="Y53" s="1950"/>
      <c r="Z53" s="1950"/>
      <c r="AA53" s="1950"/>
      <c r="AB53" s="1950"/>
      <c r="AC53" s="1950"/>
      <c r="AD53" s="1950"/>
      <c r="AE53" s="1950"/>
      <c r="AF53" s="1950"/>
      <c r="AG53" s="1950"/>
      <c r="AH53" s="1950"/>
      <c r="AI53" s="1950"/>
      <c r="AJ53" s="1950"/>
      <c r="AK53" s="1950"/>
      <c r="AM53" s="1415"/>
      <c r="AN53" s="1415" t="str">
        <f>IF(T53="","",T53)</f>
        <v>Добавить наименование тарифа</v>
      </c>
      <c r="AO53" s="1415"/>
      <c r="AP53" s="1415"/>
      <c r="AQ53" s="1144">
        <v>0</v>
      </c>
    </row>
    <row customHeight="1" ht="11.549999999999999">
      <c r="M54" s="1786"/>
      <c r="N54" s="1786"/>
      <c r="O54" s="1163"/>
      <c r="P54" s="1781"/>
      <c r="Q54" s="1781"/>
      <c r="R54" s="1781"/>
      <c r="S54" s="1781"/>
      <c r="AL54" s="1781"/>
      <c r="AM54" s="1781"/>
      <c r="AN54" s="1781"/>
      <c r="AO54" s="1781"/>
      <c r="AP54" s="1781"/>
      <c r="AQ54" s="1781">
        <v>11</v>
      </c>
    </row>
    <row customHeight="1" ht="14.699999999999998">
      <c r="O55" s="1163"/>
      <c r="S55" s="1879"/>
      <c r="T55" s="2911"/>
      <c r="U55" s="2911"/>
      <c r="V55" s="2911"/>
      <c r="W55" s="2911"/>
      <c r="X55" s="2911"/>
      <c r="Y55" s="2911"/>
      <c r="Z55" s="2911"/>
      <c r="AA55" s="2911"/>
      <c r="AB55" s="2911"/>
      <c r="AC55" s="2911"/>
      <c r="AD55" s="2911"/>
      <c r="AE55" s="2911"/>
      <c r="AF55" s="2911"/>
      <c r="AG55" s="2911"/>
      <c r="AH55" s="2911"/>
      <c r="AI55" s="2911"/>
      <c r="AJ55" s="2911"/>
      <c r="AK55" s="2911"/>
      <c r="AQ55" s="1781">
        <v>14</v>
      </c>
    </row>
    <row customHeight="1" ht="14.699999999999998">
      <c r="O56" s="1163"/>
      <c r="AQ56" s="1781">
        <v>14</v>
      </c>
    </row>
    <row customHeight="1" ht="14.699999999999998">
      <c r="O57" s="1163"/>
      <c r="S57" s="1879"/>
      <c r="T57" s="2911"/>
      <c r="U57" s="2911"/>
      <c r="V57" s="2911"/>
      <c r="W57" s="2911"/>
      <c r="X57" s="2911"/>
      <c r="Y57" s="2911"/>
      <c r="Z57" s="2911"/>
      <c r="AA57" s="2911"/>
      <c r="AB57" s="2911"/>
      <c r="AC57" s="2911"/>
      <c r="AD57" s="2911"/>
      <c r="AE57" s="2911"/>
      <c r="AF57" s="2911"/>
      <c r="AG57" s="2911"/>
      <c r="AH57" s="2911"/>
      <c r="AI57" s="2911"/>
      <c r="AJ57" s="2911"/>
      <c r="AK57" s="2911"/>
      <c r="AQ57" s="1781">
        <v>14</v>
      </c>
    </row>
    <row customHeight="1" ht="22.5" hidden="1">
      <c r="A58" s="1786" t="s">
        <v>82</v>
      </c>
      <c r="B58" s="1786">
        <v>0</v>
      </c>
      <c r="C58" s="1786">
        <v>0</v>
      </c>
      <c r="D58" s="1786">
        <v>0</v>
      </c>
      <c r="E58" s="1786">
        <v>0</v>
      </c>
      <c r="F58" s="1786">
        <v>0</v>
      </c>
      <c r="G58" s="1786">
        <v>0</v>
      </c>
      <c r="H58" s="1786">
        <v>0</v>
      </c>
      <c r="I58" s="1786">
        <v>0</v>
      </c>
      <c r="J58" s="1786">
        <v>0</v>
      </c>
      <c r="K58" s="1786">
        <v>0</v>
      </c>
      <c r="L58" s="2073">
        <v>0</v>
      </c>
      <c r="M58" s="1988">
        <v>0</v>
      </c>
      <c r="N58" s="1988">
        <v>0</v>
      </c>
      <c r="O58" s="1988">
        <v>0</v>
      </c>
      <c r="P58" s="2072">
        <v>3</v>
      </c>
      <c r="Q58" s="970">
        <v>3</v>
      </c>
      <c r="R58" s="970">
        <v>3</v>
      </c>
      <c r="S58" s="1207">
        <v>12</v>
      </c>
      <c r="T58" s="1781">
        <v>35</v>
      </c>
      <c r="U58" s="1781">
        <v>0</v>
      </c>
      <c r="V58" s="1781">
        <v>0</v>
      </c>
      <c r="W58" s="1781">
        <v>0</v>
      </c>
      <c r="X58" s="1781">
        <v>0</v>
      </c>
      <c r="Y58" s="1781">
        <v>0</v>
      </c>
      <c r="Z58" s="1781">
        <v>0</v>
      </c>
      <c r="AA58" s="1781">
        <v>0</v>
      </c>
      <c r="AB58" s="1781">
        <v>0</v>
      </c>
      <c r="AC58" s="1781">
        <v>24</v>
      </c>
      <c r="AD58" s="1781">
        <v>24</v>
      </c>
      <c r="AE58" s="1781">
        <v>24</v>
      </c>
      <c r="AF58" s="1781">
        <v>11</v>
      </c>
      <c r="AG58" s="1781">
        <v>3</v>
      </c>
      <c r="AH58" s="1781">
        <v>11</v>
      </c>
      <c r="AI58" s="1781">
        <v>0</v>
      </c>
      <c r="AJ58" s="1781">
        <v>4</v>
      </c>
      <c r="AK58" s="1781">
        <v>115</v>
      </c>
      <c r="AL58" s="1137">
        <v>10</v>
      </c>
      <c r="AM58" s="1137">
        <v>10</v>
      </c>
      <c r="AN58" s="1137">
        <v>10</v>
      </c>
      <c r="AO58" s="1137">
        <v>10</v>
      </c>
      <c r="AP58" s="1137">
        <v>10</v>
      </c>
      <c r="AQ58" s="1781">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767702-C0E8-9E8D-39BC-1F7B8E2411D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4.140625" hidden="1" customWidth="1"/>
    <col min="10" max="10" style="34657" width="9.8515625" hidden="1" customWidth="1"/>
    <col min="11" max="11" style="34657" width="14.71093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5.00390625" customWidth="1"/>
    <col min="21" max="21" style="34580" width="0.140625" customWidth="1"/>
    <col min="22" max="24" style="34580" width="24.7109375" hidden="1" customWidth="1"/>
    <col min="25" max="25" style="34580" width="11.7109375" hidden="1" customWidth="1"/>
    <col min="26" max="26" style="34580" width="3.7109375" hidden="1" customWidth="1"/>
    <col min="27" max="27" style="34580" width="11.7109375" hidden="1" customWidth="1"/>
    <col min="28" max="28" style="34580" width="8.57421875" hidden="1" customWidth="1"/>
    <col min="29" max="29" style="34580" width="24.7109375" customWidth="1"/>
    <col min="30" max="31" style="34580" width="24.00390625" customWidth="1"/>
    <col min="32" max="32" style="34580" width="11.00390625" customWidth="1"/>
    <col min="33" max="33" style="34580" width="3.7109375" customWidth="1"/>
    <col min="34" max="34" style="34580" width="11.00390625" customWidth="1"/>
    <col min="35" max="35" style="34580" width="8.57421875" hidden="1" customWidth="1"/>
    <col min="36" max="36" style="34580" width="4.00390625" customWidth="1"/>
    <col min="37" max="37" style="34580" width="115.00390625" customWidth="1"/>
    <col min="38" max="42" style="34658" width="10.00390625" customWidth="1"/>
    <col min="43" max="43" style="34580" width="10.57421875" hidden="1"/>
  </cols>
  <sheetData>
    <row customHeight="1" ht="22.5" hidden="1">
      <c r="X1" s="953"/>
      <c r="Y1" s="953"/>
      <c r="AE1" s="953"/>
      <c r="AF1" s="953"/>
      <c r="AQ1" s="1781" t="s">
        <v>14</v>
      </c>
    </row>
    <row customHeight="1" ht="23.25" hidden="1">
      <c r="A2" s="1989"/>
      <c r="B2" s="1989"/>
      <c r="C2" s="1989"/>
      <c r="D2" s="1989"/>
      <c r="E2" s="2884">
        <v>1</v>
      </c>
      <c r="F2" s="1989"/>
      <c r="G2" s="1989"/>
      <c r="H2" s="1989"/>
      <c r="I2" s="1989"/>
      <c r="J2" s="1989"/>
      <c r="K2" s="1989"/>
      <c r="L2" s="1990"/>
      <c r="M2" s="1991"/>
      <c r="N2" s="1991"/>
      <c r="O2" s="1991"/>
      <c r="P2" s="987"/>
      <c r="Q2" s="986"/>
      <c r="R2" s="981"/>
      <c r="S2" s="2083">
        <f>INDEX(PT_DIFFERENTIATION_NUM_NTAR,MATCH(A2,PT_DIFFERENTIATION_NTAR_ID,0))</f>
      </c>
      <c r="T2" s="924" t="s">
        <v>143</v>
      </c>
      <c r="U2" s="926"/>
      <c r="V2" s="2868"/>
      <c r="W2" s="2869"/>
      <c r="X2" s="2869"/>
      <c r="Y2" s="2869"/>
      <c r="Z2" s="2869"/>
      <c r="AA2" s="2869"/>
      <c r="AB2" s="2870"/>
      <c r="AC2" s="2868">
        <f>INDEX(PT_DIFFERENTIATION_NTAR,MATCH(A2,PT_DIFFERENTIATION_NTAR_ID,0))</f>
      </c>
      <c r="AD2" s="2869"/>
      <c r="AE2" s="2869"/>
      <c r="AF2" s="2869"/>
      <c r="AG2" s="2869"/>
      <c r="AH2" s="2869"/>
      <c r="AI2" s="2869"/>
      <c r="AJ2" s="2870"/>
      <c r="AK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26"/>
      <c r="AN2" s="1126" t="str">
        <f>IF(T2="","",T2)</f>
        <v>Наименование тарифа</v>
      </c>
      <c r="AO2" s="1126"/>
      <c r="AP2" s="1126"/>
      <c r="AQ2" s="1781">
        <v>0</v>
      </c>
    </row>
    <row customHeight="1" ht="23.25" hidden="1">
      <c r="A3" s="1989"/>
      <c r="B3" s="1989"/>
      <c r="C3" s="1989"/>
      <c r="D3" s="1989"/>
      <c r="E3" s="2885"/>
      <c r="F3" s="2884">
        <v>1</v>
      </c>
      <c r="G3" s="1989"/>
      <c r="H3" s="1989"/>
      <c r="I3" s="1989"/>
      <c r="J3" s="1989"/>
      <c r="K3" s="1989"/>
      <c r="L3" s="1990"/>
      <c r="M3" s="1991"/>
      <c r="N3" s="1991"/>
      <c r="O3" s="1991"/>
      <c r="P3" s="2079"/>
      <c r="Q3" s="978"/>
      <c r="R3" s="979"/>
      <c r="S3" s="2083">
        <f>INDEX(PT_DIFFERENTIATION_NUM_TER,MATCH(B3,PT_DIFFERENTIATION_TER_ID,0))</f>
      </c>
      <c r="T3" s="934" t="s">
        <v>415</v>
      </c>
      <c r="U3" s="926"/>
      <c r="V3" s="2868"/>
      <c r="W3" s="2869"/>
      <c r="X3" s="2869"/>
      <c r="Y3" s="2869"/>
      <c r="Z3" s="2869"/>
      <c r="AA3" s="2869"/>
      <c r="AB3" s="2870"/>
      <c r="AC3" s="2868">
        <f>INDEX(PT_DIFFERENTIATION_TER,MATCH(B3,PT_DIFFERENTIATION_TER_ID,0))</f>
      </c>
      <c r="AD3" s="2869"/>
      <c r="AE3" s="2869"/>
      <c r="AF3" s="2869"/>
      <c r="AG3" s="2869"/>
      <c r="AH3" s="2869"/>
      <c r="AI3" s="2869"/>
      <c r="AJ3" s="2870"/>
      <c r="AK3" s="1884" t="s">
        <v>416</v>
      </c>
      <c r="AM3" s="1126"/>
      <c r="AN3" s="1126" t="str">
        <f>IF(T3="","",T3)</f>
        <v>Территория действия тарифа</v>
      </c>
      <c r="AO3" s="1126"/>
      <c r="AP3" s="1126"/>
      <c r="AQ3" s="1781">
        <v>0</v>
      </c>
    </row>
    <row customHeight="1" ht="23.25" hidden="1">
      <c r="A4" s="1989"/>
      <c r="B4" s="1989"/>
      <c r="C4" s="1989"/>
      <c r="D4" s="1989"/>
      <c r="E4" s="2885"/>
      <c r="F4" s="2885"/>
      <c r="G4" s="2884">
        <v>1</v>
      </c>
      <c r="H4" s="1989"/>
      <c r="I4" s="1989"/>
      <c r="J4" s="1989"/>
      <c r="K4" s="1989"/>
      <c r="L4" s="1990"/>
      <c r="M4" s="1991"/>
      <c r="N4" s="1991"/>
      <c r="O4" s="1991"/>
      <c r="P4" s="980"/>
      <c r="Q4" s="978"/>
      <c r="R4" s="979"/>
      <c r="S4" s="2083">
        <f>INDEX(PT_DIFFERENTIATION_NUM_CS,MATCH(C4,PT_DIFFERENTIATION_CS_ID,0))</f>
      </c>
      <c r="T4" s="935" t="s">
        <v>499</v>
      </c>
      <c r="U4" s="926"/>
      <c r="V4" s="2868"/>
      <c r="W4" s="2869"/>
      <c r="X4" s="2869"/>
      <c r="Y4" s="2869"/>
      <c r="Z4" s="2869"/>
      <c r="AA4" s="2869"/>
      <c r="AB4" s="2870"/>
      <c r="AC4" s="2868">
        <f>INDEX(PT_DIFFERENTIATION_CS,MATCH(C4,PT_DIFFERENTIATION_CS_ID,0))</f>
      </c>
      <c r="AD4" s="2869"/>
      <c r="AE4" s="2869"/>
      <c r="AF4" s="2869"/>
      <c r="AG4" s="2869"/>
      <c r="AH4" s="2869"/>
      <c r="AI4" s="2869"/>
      <c r="AJ4" s="2870"/>
      <c r="AK4" s="1884" t="s">
        <v>500</v>
      </c>
      <c r="AM4" s="1126"/>
      <c r="AN4" s="1126" t="str">
        <f>IF(T4="","",T4)</f>
        <v>Наименование централизованной системы холодного водоснабжения</v>
      </c>
      <c r="AO4" s="1126"/>
      <c r="AP4" s="1126"/>
      <c r="AQ4" s="1781">
        <v>0</v>
      </c>
    </row>
    <row customHeight="1" ht="23.25" hidden="1">
      <c r="A5" s="1989"/>
      <c r="B5" s="1989"/>
      <c r="C5" s="1989"/>
      <c r="D5" s="1989"/>
      <c r="E5" s="2885"/>
      <c r="F5" s="2885"/>
      <c r="G5" s="2885"/>
      <c r="H5" s="2885"/>
      <c r="I5" s="2882">
        <f>S4&amp;".1"</f>
      </c>
      <c r="J5" s="1989"/>
      <c r="K5" s="1989"/>
      <c r="L5" s="1990"/>
      <c r="P5" s="2883">
        <v>1</v>
      </c>
      <c r="Q5" s="2076"/>
      <c r="R5" s="982"/>
      <c r="S5" s="2083">
        <f>$I5</f>
      </c>
      <c r="T5" s="911" t="s">
        <v>501</v>
      </c>
      <c r="U5" s="926"/>
      <c r="V5" s="2976"/>
      <c r="W5" s="2977"/>
      <c r="X5" s="2977"/>
      <c r="Y5" s="2977"/>
      <c r="Z5" s="2977"/>
      <c r="AA5" s="2977"/>
      <c r="AB5" s="2978"/>
      <c r="AC5" s="2979"/>
      <c r="AD5" s="2980"/>
      <c r="AE5" s="2980"/>
      <c r="AF5" s="2980"/>
      <c r="AG5" s="2980"/>
      <c r="AH5" s="2980"/>
      <c r="AI5" s="2980"/>
      <c r="AJ5" s="2981"/>
      <c r="AK5" s="1884" t="s">
        <v>502</v>
      </c>
      <c r="AM5" s="1126"/>
      <c r="AN5" s="1126" t="str">
        <f>IF(T5="","",T5)</f>
        <v>Наименование признака дифференциации</v>
      </c>
      <c r="AO5" s="1126"/>
      <c r="AP5" s="1126"/>
      <c r="AQ5" s="1781">
        <v>0</v>
      </c>
    </row>
    <row customHeight="1" ht="23.25" hidden="1">
      <c r="A6" s="1989"/>
      <c r="B6" s="1989"/>
      <c r="C6" s="1989"/>
      <c r="D6" s="1989"/>
      <c r="E6" s="2885"/>
      <c r="F6" s="2885"/>
      <c r="G6" s="2885"/>
      <c r="H6" s="2885"/>
      <c r="I6" s="2912"/>
      <c r="J6" s="2882">
        <f>I5&amp;".1"</f>
      </c>
      <c r="K6" s="1989"/>
      <c r="L6" s="1990" t="s">
        <v>424</v>
      </c>
      <c r="P6" s="2883"/>
      <c r="Q6" s="2883">
        <v>1</v>
      </c>
      <c r="R6" s="983"/>
      <c r="S6" s="2083">
        <f>$J6</f>
      </c>
      <c r="T6" s="912" t="s">
        <v>425</v>
      </c>
      <c r="U6" s="926"/>
      <c r="V6" s="2871"/>
      <c r="W6" s="2872"/>
      <c r="X6" s="2872"/>
      <c r="Y6" s="2872"/>
      <c r="Z6" s="2872"/>
      <c r="AA6" s="2872"/>
      <c r="AB6" s="2873"/>
      <c r="AC6" s="2871"/>
      <c r="AD6" s="2872"/>
      <c r="AE6" s="2872"/>
      <c r="AF6" s="2872"/>
      <c r="AG6" s="2872"/>
      <c r="AH6" s="2872"/>
      <c r="AI6" s="2872"/>
      <c r="AJ6" s="2873"/>
      <c r="AK6" s="1933" t="s">
        <v>503</v>
      </c>
      <c r="AM6" s="1126"/>
      <c r="AN6" s="1126" t="str">
        <f>IF(T6="","",T6)</f>
        <v>Группа потребителей</v>
      </c>
      <c r="AO6" s="1126"/>
      <c r="AP6" s="1126"/>
      <c r="AQ6" s="1781">
        <v>0</v>
      </c>
    </row>
    <row customHeight="1" ht="23.25" hidden="1">
      <c r="A7" s="1989"/>
      <c r="B7" s="1989"/>
      <c r="C7" s="1989"/>
      <c r="D7" s="1989"/>
      <c r="E7" s="2885"/>
      <c r="F7" s="2885"/>
      <c r="G7" s="2885"/>
      <c r="H7" s="2885"/>
      <c r="I7" s="2912"/>
      <c r="J7" s="2912"/>
      <c r="K7" s="2882">
        <f>J6&amp;".1"</f>
      </c>
      <c r="L7" s="1990"/>
      <c r="P7" s="2883"/>
      <c r="Q7" s="2883"/>
      <c r="R7" s="983">
        <v>1</v>
      </c>
      <c r="S7" s="2083">
        <f>$K7</f>
      </c>
      <c r="T7" s="2063"/>
      <c r="U7" s="926"/>
      <c r="V7" s="1377"/>
      <c r="W7" s="1377"/>
      <c r="X7" s="1883"/>
      <c r="Y7" s="2891"/>
      <c r="Z7" s="2733" t="s">
        <v>66</v>
      </c>
      <c r="AA7" s="2891"/>
      <c r="AB7" s="2733" t="s">
        <v>66</v>
      </c>
      <c r="AC7" s="1377"/>
      <c r="AD7" s="1377"/>
      <c r="AE7" s="1883"/>
      <c r="AF7" s="2891"/>
      <c r="AG7" s="2733" t="s">
        <v>66</v>
      </c>
      <c r="AH7" s="2913"/>
      <c r="AI7" s="2733" t="s">
        <v>66</v>
      </c>
      <c r="AJ7" s="2064"/>
      <c r="AK7"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37">
        <f>STRCHECKDATE(V8:AJ8)</f>
      </c>
      <c r="AM7" s="1126"/>
      <c r="AN7" s="1126" t="str">
        <f>IF(T7="","",T7)</f>
        <v/>
      </c>
      <c r="AO7" s="1126"/>
      <c r="AP7" s="1126"/>
      <c r="AQ7" s="1781">
        <v>0</v>
      </c>
    </row>
    <row customHeight="1" ht="14.25" hidden="1">
      <c r="A8" s="1989"/>
      <c r="B8" s="1989"/>
      <c r="C8" s="1989"/>
      <c r="D8" s="1989"/>
      <c r="E8" s="2885"/>
      <c r="F8" s="2885"/>
      <c r="G8" s="2885"/>
      <c r="H8" s="2885"/>
      <c r="I8" s="2912"/>
      <c r="J8" s="2912"/>
      <c r="K8" s="2882"/>
      <c r="L8" s="1990"/>
      <c r="P8" s="2883"/>
      <c r="Q8" s="2883"/>
      <c r="R8" s="983"/>
      <c r="S8" s="2082"/>
      <c r="T8" s="926"/>
      <c r="U8" s="926"/>
      <c r="V8" s="951"/>
      <c r="W8" s="951"/>
      <c r="X8" s="954" t="str">
        <f>Y7&amp;"-"&amp;AA7</f>
        <v>-</v>
      </c>
      <c r="Y8" s="2892"/>
      <c r="Z8" s="2733"/>
      <c r="AA8" s="2892"/>
      <c r="AB8" s="2733"/>
      <c r="AC8" s="951"/>
      <c r="AD8" s="951"/>
      <c r="AE8" s="954" t="str">
        <f>AF7&amp;"-"&amp;AH7</f>
        <v>-</v>
      </c>
      <c r="AF8" s="2892"/>
      <c r="AG8" s="2733"/>
      <c r="AH8" s="2914"/>
      <c r="AI8" s="2733"/>
      <c r="AJ8" s="2065"/>
      <c r="AK8" s="2975"/>
      <c r="AM8" s="1126"/>
      <c r="AN8" s="1126" t="str">
        <f>IF(T8="","",T8)</f>
        <v/>
      </c>
      <c r="AO8" s="1126"/>
      <c r="AP8" s="1126"/>
      <c r="AQ8" s="1781">
        <v>0</v>
      </c>
    </row>
    <row customHeight="1" ht="21" hidden="1">
      <c r="A9" s="1989"/>
      <c r="B9" s="1989"/>
      <c r="C9" s="1989"/>
      <c r="D9" s="1989"/>
      <c r="E9" s="2885"/>
      <c r="F9" s="2885"/>
      <c r="G9" s="2885"/>
      <c r="H9" s="2885"/>
      <c r="I9" s="2912"/>
      <c r="J9" s="2882"/>
      <c r="K9" s="1989"/>
      <c r="L9" s="1990"/>
      <c r="P9" s="2883"/>
      <c r="Q9" s="2883"/>
      <c r="R9" s="982"/>
      <c r="S9" s="1904"/>
      <c r="T9" s="913" t="s">
        <v>504</v>
      </c>
      <c r="U9" s="993"/>
      <c r="V9" s="993"/>
      <c r="W9" s="993"/>
      <c r="X9" s="993"/>
      <c r="Y9" s="993"/>
      <c r="Z9" s="993"/>
      <c r="AA9" s="993"/>
      <c r="AB9" s="993"/>
      <c r="AC9" s="993"/>
      <c r="AD9" s="993"/>
      <c r="AE9" s="993"/>
      <c r="AF9" s="993"/>
      <c r="AG9" s="993"/>
      <c r="AH9" s="993"/>
      <c r="AI9" s="993"/>
      <c r="AJ9" s="993"/>
      <c r="AK9" s="1884" t="s">
        <v>505</v>
      </c>
      <c r="AM9" s="1126"/>
      <c r="AN9" s="1126" t="str">
        <f>IF(T9="","",T9)</f>
        <v>Добавить значение признака дифференциации</v>
      </c>
      <c r="AO9" s="1126"/>
      <c r="AP9" s="1126"/>
      <c r="AQ9" s="1781">
        <v>0</v>
      </c>
    </row>
    <row customHeight="1" ht="21" hidden="1">
      <c r="A10" s="1989"/>
      <c r="B10" s="1989"/>
      <c r="C10" s="1989"/>
      <c r="D10" s="1989"/>
      <c r="E10" s="2885"/>
      <c r="F10" s="2885"/>
      <c r="G10" s="2885"/>
      <c r="H10" s="2885"/>
      <c r="I10" s="2882"/>
      <c r="J10" s="1989"/>
      <c r="K10" s="1989"/>
      <c r="L10" s="1990"/>
      <c r="P10" s="2883"/>
      <c r="Q10" s="2076"/>
      <c r="R10" s="982"/>
      <c r="S10" s="1904"/>
      <c r="T10" s="991" t="s">
        <v>430</v>
      </c>
      <c r="U10" s="993"/>
      <c r="V10" s="993"/>
      <c r="W10" s="993"/>
      <c r="X10" s="993"/>
      <c r="Y10" s="993"/>
      <c r="Z10" s="993"/>
      <c r="AA10" s="993"/>
      <c r="AB10" s="992"/>
      <c r="AC10" s="993"/>
      <c r="AD10" s="993"/>
      <c r="AE10" s="993"/>
      <c r="AF10" s="993"/>
      <c r="AG10" s="993"/>
      <c r="AH10" s="993"/>
      <c r="AI10" s="992"/>
      <c r="AJ10" s="993"/>
      <c r="AK10" s="2066"/>
      <c r="AM10" s="1126"/>
      <c r="AN10" s="1126" t="str">
        <f>IF(T10="","",T10)</f>
        <v>Добавить группу потребителей</v>
      </c>
      <c r="AO10" s="1126"/>
      <c r="AP10" s="1126"/>
      <c r="AQ10" s="1781">
        <v>0</v>
      </c>
    </row>
    <row customHeight="1" ht="21" hidden="1">
      <c r="A11" s="1989"/>
      <c r="B11" s="1989"/>
      <c r="C11" s="1989"/>
      <c r="D11" s="1989"/>
      <c r="E11" s="2885"/>
      <c r="F11" s="2885"/>
      <c r="G11" s="2885"/>
      <c r="H11" s="2884"/>
      <c r="I11" s="1989"/>
      <c r="J11" s="1989"/>
      <c r="K11" s="1989"/>
      <c r="L11" s="1990"/>
      <c r="M11" s="1991"/>
      <c r="N11" s="1991"/>
      <c r="O11" s="1163"/>
      <c r="P11" s="986"/>
      <c r="Q11" s="1001"/>
      <c r="R11" s="981"/>
      <c r="S11" s="1904"/>
      <c r="T11" s="998" t="s">
        <v>506</v>
      </c>
      <c r="U11" s="993"/>
      <c r="V11" s="993"/>
      <c r="W11" s="993"/>
      <c r="X11" s="993"/>
      <c r="Y11" s="993"/>
      <c r="Z11" s="993"/>
      <c r="AA11" s="993"/>
      <c r="AB11" s="992"/>
      <c r="AC11" s="993"/>
      <c r="AD11" s="993"/>
      <c r="AE11" s="993"/>
      <c r="AF11" s="993"/>
      <c r="AG11" s="993"/>
      <c r="AH11" s="993"/>
      <c r="AI11" s="992"/>
      <c r="AJ11" s="993"/>
      <c r="AK11" s="929"/>
      <c r="AM11" s="1126"/>
      <c r="AN11" s="1126" t="str">
        <f>IF(T11="","",T11)</f>
        <v>Добавить наименование признака дифференциации</v>
      </c>
      <c r="AO11" s="1126"/>
      <c r="AP11" s="1126"/>
      <c r="AQ11" s="1781">
        <v>0</v>
      </c>
    </row>
    <row s="34658" customFormat="1" customHeight="1" ht="14.25" hidden="1">
      <c r="A12" s="1969"/>
      <c r="B12" s="1969"/>
      <c r="C12" s="1940"/>
      <c r="D12" s="1940"/>
      <c r="E12" s="2885"/>
      <c r="F12" s="2884"/>
      <c r="G12" s="1940"/>
      <c r="H12" s="1940"/>
      <c r="I12" s="1940"/>
      <c r="J12" s="1940"/>
      <c r="K12" s="1940"/>
      <c r="L12" s="2084"/>
      <c r="M12" s="1947"/>
      <c r="N12" s="1947"/>
      <c r="P12" s="1942"/>
      <c r="Q12" s="1943"/>
      <c r="R12" s="1942"/>
      <c r="S12" s="1948"/>
      <c r="T12" s="1951" t="s">
        <v>433</v>
      </c>
      <c r="U12" s="1950"/>
      <c r="V12" s="1950"/>
      <c r="W12" s="1950"/>
      <c r="X12" s="1950"/>
      <c r="Y12" s="1950"/>
      <c r="Z12" s="1950"/>
      <c r="AA12" s="1950"/>
      <c r="AB12" s="1950"/>
      <c r="AC12" s="1950"/>
      <c r="AD12" s="1950"/>
      <c r="AE12" s="1950"/>
      <c r="AF12" s="1950"/>
      <c r="AG12" s="1950"/>
      <c r="AH12" s="1950"/>
      <c r="AI12" s="1950"/>
      <c r="AJ12" s="1950"/>
      <c r="AK12" s="1950"/>
      <c r="AM12" s="1415"/>
      <c r="AN12" s="1415" t="str">
        <f>IF(T12="","",T12)</f>
        <v>Добавить централизованную систему для дифференциации</v>
      </c>
      <c r="AO12" s="1415"/>
      <c r="AP12" s="1415"/>
      <c r="AQ12" s="1144">
        <v>0</v>
      </c>
    </row>
    <row s="34658" customFormat="1" customHeight="1" ht="14.25" hidden="1">
      <c r="A13" s="1969"/>
      <c r="B13" s="1969"/>
      <c r="C13" s="1969"/>
      <c r="D13" s="1969"/>
      <c r="E13" s="2884"/>
      <c r="F13" s="1969"/>
      <c r="G13" s="1969"/>
      <c r="H13" s="1969"/>
      <c r="I13" s="1969"/>
      <c r="J13" s="1969"/>
      <c r="K13" s="1969"/>
      <c r="L13" s="1972"/>
      <c r="M13" s="1947"/>
      <c r="N13" s="1947"/>
      <c r="O13" s="1144"/>
      <c r="P13" s="1006"/>
      <c r="Q13" s="1970"/>
      <c r="R13" s="1006"/>
      <c r="S13" s="1948"/>
      <c r="T13" s="1951" t="s">
        <v>434</v>
      </c>
      <c r="U13" s="1950"/>
      <c r="V13" s="1950"/>
      <c r="W13" s="1950"/>
      <c r="X13" s="1950"/>
      <c r="Y13" s="1950"/>
      <c r="Z13" s="1950"/>
      <c r="AA13" s="1950"/>
      <c r="AB13" s="1950"/>
      <c r="AC13" s="1950"/>
      <c r="AD13" s="1950"/>
      <c r="AE13" s="1950"/>
      <c r="AF13" s="1950"/>
      <c r="AG13" s="1950"/>
      <c r="AH13" s="1950"/>
      <c r="AI13" s="1950"/>
      <c r="AJ13" s="1950"/>
      <c r="AK13" s="1950"/>
      <c r="AM13" s="1126"/>
      <c r="AN13" s="1126" t="str">
        <f>IF(T13="","",T13)</f>
        <v>Добавить территорию для дифференциации</v>
      </c>
      <c r="AO13" s="1126"/>
      <c r="AP13" s="1126"/>
      <c r="AQ13" s="1137">
        <v>0</v>
      </c>
    </row>
    <row customHeight="1" ht="14.25" hidden="1">
      <c r="AB14" s="953"/>
      <c r="AI14" s="953"/>
      <c r="AQ14" s="1781">
        <v>0</v>
      </c>
    </row>
    <row customHeight="1" ht="14.25" hidden="1">
      <c r="AC15" s="1986"/>
      <c r="AD15" s="1986"/>
      <c r="AE15" s="1987"/>
      <c r="AF15" s="2893"/>
      <c r="AG15" s="2894" t="s">
        <v>66</v>
      </c>
      <c r="AH15" s="2893"/>
      <c r="AI15" s="2894" t="s">
        <v>66</v>
      </c>
      <c r="AQ15" s="1781">
        <v>0</v>
      </c>
    </row>
    <row customHeight="1" ht="14.25" hidden="1">
      <c r="AC16" s="1986"/>
      <c r="AD16" s="1986"/>
      <c r="AE16" s="954" t="str">
        <f>AF15&amp;"-"&amp;AH15</f>
        <v>-</v>
      </c>
      <c r="AF16" s="2894"/>
      <c r="AG16" s="2894"/>
      <c r="AH16" s="2894"/>
      <c r="AI16" s="2894"/>
      <c r="AQ16" s="1781">
        <v>0</v>
      </c>
    </row>
    <row customHeight="1" ht="14.25" hidden="1">
      <c r="AI17" s="953"/>
      <c r="AQ17" s="1781">
        <v>0</v>
      </c>
    </row>
    <row s="34657" customFormat="1" customHeight="1" ht="22.5" hidden="1">
      <c r="L18" s="2073"/>
      <c r="M18" s="1988"/>
      <c r="N18" s="1988"/>
      <c r="O18" s="1993" t="s">
        <v>435</v>
      </c>
      <c r="P18" s="1988"/>
      <c r="Q18" s="1997"/>
      <c r="R18" s="1997"/>
      <c r="S18" s="1355"/>
      <c r="Y18" s="1993"/>
      <c r="AA18" s="1993"/>
      <c r="AB18" s="1992"/>
      <c r="AF18" s="1993"/>
      <c r="AH18" s="1993"/>
      <c r="AI18" s="1992"/>
      <c r="AL18" s="1137"/>
      <c r="AM18" s="1137"/>
      <c r="AN18" s="1137"/>
      <c r="AO18" s="1137"/>
      <c r="AP18" s="1137"/>
      <c r="AQ18" s="1786">
        <v>0</v>
      </c>
    </row>
    <row s="34657" customFormat="1" customHeight="1" ht="14.25" hidden="1">
      <c r="L19" s="2073"/>
      <c r="M19" s="1988"/>
      <c r="N19" s="1988"/>
      <c r="O19" s="1988"/>
      <c r="P19" s="1988"/>
      <c r="Q19" s="1997"/>
      <c r="R19" s="1997"/>
      <c r="S19" s="1355"/>
      <c r="AB19" s="1992"/>
      <c r="AI19" s="1992"/>
      <c r="AL19" s="1137"/>
      <c r="AM19" s="1137"/>
      <c r="AN19" s="1137"/>
      <c r="AO19" s="1137"/>
      <c r="AP19" s="1137"/>
      <c r="AQ19" s="1786">
        <v>0</v>
      </c>
    </row>
    <row s="34657" customFormat="1" customHeight="1" ht="12" hidden="1">
      <c r="L20" s="2073"/>
      <c r="M20" s="1988"/>
      <c r="N20" s="1988"/>
      <c r="O20" s="1990" t="s">
        <v>436</v>
      </c>
      <c r="P20" s="1988"/>
      <c r="Q20" s="2068"/>
      <c r="R20" s="2068"/>
      <c r="S20" s="1355"/>
      <c r="T20" s="1786" t="s">
        <v>437</v>
      </c>
      <c r="Z20" s="812" t="s">
        <v>438</v>
      </c>
      <c r="AB20" s="812" t="s">
        <v>439</v>
      </c>
      <c r="AC20" s="1786" t="s">
        <v>437</v>
      </c>
      <c r="AG20" s="812" t="s">
        <v>440</v>
      </c>
      <c r="AI20" s="812" t="s">
        <v>439</v>
      </c>
      <c r="AQ20" s="1786">
        <v>0</v>
      </c>
    </row>
    <row customHeight="1" ht="14.25" hidden="1">
      <c r="O21" s="1990"/>
      <c r="AQ21" s="1781">
        <v>0</v>
      </c>
    </row>
    <row customHeight="1" ht="14.25" hidden="1">
      <c r="O22" s="1990"/>
      <c r="AQ22" s="1781">
        <v>0</v>
      </c>
    </row>
    <row customHeight="1" ht="14.699999999999998">
      <c r="Q23" s="1002"/>
      <c r="R23" s="1002"/>
      <c r="S23" s="1901"/>
      <c r="T23" s="989"/>
      <c r="U23" s="989"/>
      <c r="V23" s="1135"/>
      <c r="W23" s="1135"/>
      <c r="X23" s="1135"/>
      <c r="Y23" s="1135"/>
      <c r="Z23" s="1135"/>
      <c r="AA23" s="1135"/>
      <c r="AB23" s="1135"/>
      <c r="AC23" s="1135"/>
      <c r="AD23" s="1135"/>
      <c r="AE23" s="1135"/>
      <c r="AF23" s="1135"/>
      <c r="AG23" s="1135"/>
      <c r="AH23" s="1135"/>
      <c r="AI23" s="1135"/>
      <c r="AQ23" s="1781">
        <v>14</v>
      </c>
    </row>
    <row customHeight="1" ht="14.699999999999998">
      <c r="Q24" s="1002"/>
      <c r="R24" s="1002"/>
      <c r="S24" s="28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4"/>
      <c r="U24" s="2874"/>
      <c r="V24" s="2874"/>
      <c r="W24" s="2874"/>
      <c r="X24" s="2874"/>
      <c r="Y24" s="2874"/>
      <c r="Z24" s="2874"/>
      <c r="AA24" s="2874"/>
      <c r="AB24" s="2874"/>
      <c r="AC24" s="2874"/>
      <c r="AD24" s="2874"/>
      <c r="AE24" s="2874"/>
      <c r="AF24" s="2874"/>
      <c r="AG24" s="2874"/>
      <c r="AH24" s="2874"/>
      <c r="AI24" s="1869"/>
      <c r="AQ24" s="1781">
        <v>14</v>
      </c>
    </row>
    <row customHeight="1" ht="14.699999999999998">
      <c r="Q25" s="1002"/>
      <c r="R25" s="1002"/>
      <c r="S25" s="2875" t="str">
        <f>IF(org=0,"Не определено",org)</f>
        <v>АО "ДГК"</v>
      </c>
      <c r="T25" s="2875"/>
      <c r="U25" s="2875"/>
      <c r="V25" s="2875"/>
      <c r="W25" s="2875"/>
      <c r="X25" s="2875"/>
      <c r="Y25" s="2875"/>
      <c r="Z25" s="2875"/>
      <c r="AA25" s="2875"/>
      <c r="AB25" s="2875"/>
      <c r="AC25" s="2875"/>
      <c r="AD25" s="2875"/>
      <c r="AE25" s="2875"/>
      <c r="AF25" s="2875"/>
      <c r="AG25" s="2875"/>
      <c r="AH25" s="2875"/>
      <c r="AI25" s="1869"/>
      <c r="AQ25" s="1781">
        <v>14</v>
      </c>
    </row>
    <row customHeight="1" ht="14.25" hidden="1">
      <c r="Q26" s="1002"/>
      <c r="R26" s="1002"/>
      <c r="S26" s="1901"/>
      <c r="T26" s="989"/>
      <c r="U26" s="989"/>
      <c r="V26" s="948"/>
      <c r="W26" s="948"/>
      <c r="X26" s="948"/>
      <c r="Y26" s="948"/>
      <c r="Z26" s="948"/>
      <c r="AA26" s="948"/>
      <c r="AB26" s="948"/>
      <c r="AC26" s="948"/>
      <c r="AD26" s="948"/>
      <c r="AE26" s="948"/>
      <c r="AF26" s="948"/>
      <c r="AG26" s="948"/>
      <c r="AH26" s="948"/>
      <c r="AI26" s="948"/>
      <c r="AJ26" s="1135"/>
      <c r="AQ26" s="1781">
        <v>0</v>
      </c>
    </row>
    <row s="34794" customFormat="1" customHeight="1" ht="25.5" hidden="1">
      <c r="A27" s="1994"/>
      <c r="B27" s="1994"/>
      <c r="C27" s="1994"/>
      <c r="D27" s="1994"/>
      <c r="E27" s="1994"/>
      <c r="F27" s="1994"/>
      <c r="G27" s="1994"/>
      <c r="H27" s="1994"/>
      <c r="I27" s="1994"/>
      <c r="J27" s="1994"/>
      <c r="K27" s="1994"/>
      <c r="L27" s="1995"/>
      <c r="M27" s="1994"/>
      <c r="N27" s="1994"/>
      <c r="O27" s="1994"/>
      <c r="S27" s="2876" t="s">
        <v>42</v>
      </c>
      <c r="T27" s="2876"/>
      <c r="U27" s="1998"/>
      <c r="V27" s="2877" t="str">
        <f>IF(TITLE_NAME_OR_PR_CHANGE="",IF(TITLE_NAME_OR_PR="","",TITLE_NAME_OR_PR),TITLE_NAME_OR_PR_CHANGE)</f>
        <v/>
      </c>
      <c r="W27" s="2877"/>
      <c r="X27" s="2877"/>
      <c r="Y27" s="2877"/>
      <c r="Z27" s="2877"/>
      <c r="AA27" s="2877"/>
      <c r="AB27" s="952"/>
      <c r="AC27" s="2877" t="str">
        <f>IF(TITLE_NAME_OR_PR_CHANGE="",IF(TITLE_NAME_OR_PR="","",TITLE_NAME_OR_PR),TITLE_NAME_OR_PR_CHANGE)</f>
        <v/>
      </c>
      <c r="AD27" s="2877"/>
      <c r="AE27" s="2877"/>
      <c r="AF27" s="2877"/>
      <c r="AG27" s="2877"/>
      <c r="AH27" s="2877"/>
      <c r="AI27" s="952"/>
      <c r="AJ27" s="952"/>
      <c r="AK27" s="906"/>
      <c r="AL27" s="994"/>
      <c r="AM27" s="994"/>
      <c r="AN27" s="994"/>
      <c r="AO27" s="994"/>
      <c r="AP27" s="994"/>
      <c r="AQ27" s="1044">
        <v>0</v>
      </c>
    </row>
    <row s="34794" customFormat="1" customHeight="1" ht="18.75" hidden="1">
      <c r="A28" s="1994"/>
      <c r="B28" s="1994"/>
      <c r="C28" s="1994"/>
      <c r="D28" s="1994"/>
      <c r="E28" s="1994"/>
      <c r="F28" s="1994"/>
      <c r="G28" s="1994"/>
      <c r="H28" s="1994"/>
      <c r="I28" s="1994"/>
      <c r="J28" s="1994"/>
      <c r="K28" s="1994"/>
      <c r="L28" s="1995"/>
      <c r="M28" s="1994"/>
      <c r="N28" s="1994"/>
      <c r="O28" s="1994"/>
      <c r="S28" s="2876" t="s">
        <v>441</v>
      </c>
      <c r="T28" s="2876"/>
      <c r="U28" s="1998"/>
      <c r="V28" s="2890" t="str">
        <f>IF(TITLE_DATE_PR_CHANGE="",IF(TITLE_DATE_PR="","",TITLE_DATE_PR),TITLE_DATE_PR_CHANGE)</f>
        <v/>
      </c>
      <c r="W28" s="2890"/>
      <c r="X28" s="2890"/>
      <c r="Y28" s="2890"/>
      <c r="Z28" s="2890"/>
      <c r="AA28" s="2890"/>
      <c r="AB28" s="952"/>
      <c r="AC28" s="2890" t="str">
        <f>IF(TITLE_DATE_PR_CHANGE="",IF(TITLE_DATE_PR="","",TITLE_DATE_PR),TITLE_DATE_PR_CHANGE)</f>
        <v/>
      </c>
      <c r="AD28" s="2890"/>
      <c r="AE28" s="2890"/>
      <c r="AF28" s="2890"/>
      <c r="AG28" s="2890"/>
      <c r="AH28" s="2890"/>
      <c r="AI28" s="952"/>
      <c r="AJ28" s="952"/>
      <c r="AK28" s="906"/>
      <c r="AL28" s="994"/>
      <c r="AM28" s="994"/>
      <c r="AN28" s="994"/>
      <c r="AO28" s="994"/>
      <c r="AP28" s="994"/>
      <c r="AQ28" s="1044">
        <v>0</v>
      </c>
    </row>
    <row s="34794" customFormat="1" customHeight="1" ht="18.75" hidden="1">
      <c r="A29" s="1994"/>
      <c r="B29" s="1994"/>
      <c r="C29" s="1994"/>
      <c r="D29" s="1994"/>
      <c r="E29" s="1994"/>
      <c r="F29" s="1994"/>
      <c r="G29" s="1994"/>
      <c r="H29" s="1994"/>
      <c r="I29" s="1994"/>
      <c r="J29" s="1994"/>
      <c r="K29" s="1994"/>
      <c r="L29" s="1995"/>
      <c r="M29" s="1994"/>
      <c r="N29" s="1994"/>
      <c r="O29" s="1994"/>
      <c r="S29" s="2876" t="s">
        <v>442</v>
      </c>
      <c r="T29" s="2876"/>
      <c r="U29" s="1998"/>
      <c r="V29" s="2877" t="str">
        <f>IF(TITLE_NUMBER_PR_CHANGE="",IF(TITLE_NUMBER_PR="","",TITLE_NUMBER_PR),TITLE_NUMBER_PR_CHANGE)</f>
        <v/>
      </c>
      <c r="W29" s="2877"/>
      <c r="X29" s="2877"/>
      <c r="Y29" s="2877"/>
      <c r="Z29" s="2877"/>
      <c r="AA29" s="2877"/>
      <c r="AB29" s="952"/>
      <c r="AC29" s="2877" t="str">
        <f>IF(TITLE_NUMBER_PR_CHANGE="",IF(TITLE_NUMBER_PR="","",TITLE_NUMBER_PR),TITLE_NUMBER_PR_CHANGE)</f>
        <v/>
      </c>
      <c r="AD29" s="2877"/>
      <c r="AE29" s="2877"/>
      <c r="AF29" s="2877"/>
      <c r="AG29" s="2877"/>
      <c r="AH29" s="2877"/>
      <c r="AI29" s="952"/>
      <c r="AJ29" s="952"/>
      <c r="AK29" s="906"/>
      <c r="AL29" s="994"/>
      <c r="AM29" s="994"/>
      <c r="AN29" s="994"/>
      <c r="AO29" s="994"/>
      <c r="AP29" s="994"/>
      <c r="AQ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43</v>
      </c>
      <c r="T30" s="2876"/>
      <c r="U30" s="1998"/>
      <c r="V30" s="2877" t="str">
        <f>IF(TITLE_IST_PUB_CHANGE="",IF(TITLE_IST_PUB="","",TITLE_IST_PUB),TITLE_IST_PUB_CHANGE)</f>
        <v/>
      </c>
      <c r="W30" s="2877"/>
      <c r="X30" s="2877"/>
      <c r="Y30" s="2877"/>
      <c r="Z30" s="2877"/>
      <c r="AA30" s="2877"/>
      <c r="AB30" s="952"/>
      <c r="AC30" s="2877" t="str">
        <f>IF(TITLE_IST_PUB_CHANGE="",IF(TITLE_IST_PUB="","",TITLE_IST_PUB),TITLE_IST_PUB_CHANGE)</f>
        <v/>
      </c>
      <c r="AD30" s="2877"/>
      <c r="AE30" s="2877"/>
      <c r="AF30" s="2877"/>
      <c r="AG30" s="2877"/>
      <c r="AH30" s="2877"/>
      <c r="AI30" s="952"/>
      <c r="AJ30" s="952"/>
      <c r="AK30" s="906"/>
      <c r="AL30" s="994"/>
      <c r="AM30" s="994"/>
      <c r="AN30" s="994"/>
      <c r="AO30" s="994"/>
      <c r="AP30" s="994"/>
      <c r="AQ30" s="1044">
        <v>0</v>
      </c>
    </row>
    <row customHeight="1" ht="14.25" hidden="1">
      <c r="Q31" s="1002"/>
      <c r="R31" s="1002"/>
      <c r="S31" s="1901"/>
      <c r="T31" s="989"/>
      <c r="U31" s="989"/>
      <c r="V31" s="948"/>
      <c r="W31" s="948"/>
      <c r="X31" s="948"/>
      <c r="Y31" s="948"/>
      <c r="Z31" s="948"/>
      <c r="AA31" s="948"/>
      <c r="AB31" s="948"/>
      <c r="AC31" s="948"/>
      <c r="AD31" s="948"/>
      <c r="AE31" s="948"/>
      <c r="AF31" s="948"/>
      <c r="AG31" s="948"/>
      <c r="AH31" s="948"/>
      <c r="AI31" s="948"/>
      <c r="AJ31" s="1135"/>
      <c r="AQ31" s="1781">
        <v>0</v>
      </c>
    </row>
    <row s="34794" customFormat="1" customHeight="1" ht="18.75" hidden="1">
      <c r="A32" s="1994"/>
      <c r="B32" s="1994"/>
      <c r="C32" s="1994"/>
      <c r="D32" s="1994"/>
      <c r="E32" s="1994"/>
      <c r="F32" s="1994"/>
      <c r="G32" s="1994"/>
      <c r="H32" s="1994"/>
      <c r="I32" s="1994"/>
      <c r="J32" s="1994"/>
      <c r="K32" s="1994"/>
      <c r="L32" s="1995"/>
      <c r="M32" s="1994"/>
      <c r="N32" s="1994"/>
      <c r="O32" s="1994"/>
      <c r="S32" s="2876" t="s">
        <v>443</v>
      </c>
      <c r="T32" s="2876"/>
      <c r="U32" s="1998"/>
      <c r="V32" s="2890" t="str">
        <f>IF(TITLE_DATE_PR_CHANGE="",IF(TITLE_DATE_PR="","",TITLE_DATE_PR),TITLE_DATE_PR_CHANGE)</f>
        <v/>
      </c>
      <c r="W32" s="2890"/>
      <c r="X32" s="2890"/>
      <c r="Y32" s="2890"/>
      <c r="Z32" s="2890"/>
      <c r="AA32" s="2890"/>
      <c r="AB32" s="952"/>
      <c r="AC32" s="2890" t="str">
        <f>IF(TITLE_DATE_PR_CHANGE="",IF(TITLE_DATE_PR="","",TITLE_DATE_PR),TITLE_DATE_PR_CHANGE)</f>
        <v/>
      </c>
      <c r="AD32" s="2890"/>
      <c r="AE32" s="2890"/>
      <c r="AF32" s="2890"/>
      <c r="AG32" s="2890"/>
      <c r="AH32" s="2890"/>
      <c r="AI32" s="952"/>
      <c r="AJ32" s="952"/>
      <c r="AK32" s="906"/>
      <c r="AL32" s="994"/>
      <c r="AM32" s="994"/>
      <c r="AN32" s="994"/>
      <c r="AO32" s="994"/>
      <c r="AP32" s="994"/>
      <c r="AQ32" s="1044">
        <v>0</v>
      </c>
    </row>
    <row s="34794" customFormat="1" customHeight="1" ht="18.75" hidden="1">
      <c r="A33" s="1994"/>
      <c r="B33" s="1994"/>
      <c r="C33" s="1994"/>
      <c r="D33" s="1994"/>
      <c r="E33" s="1994"/>
      <c r="F33" s="1994"/>
      <c r="G33" s="1994"/>
      <c r="H33" s="1994"/>
      <c r="I33" s="1994"/>
      <c r="J33" s="1994"/>
      <c r="K33" s="1994"/>
      <c r="L33" s="1995"/>
      <c r="M33" s="1994"/>
      <c r="N33" s="1994"/>
      <c r="O33" s="1994"/>
      <c r="S33" s="2876" t="s">
        <v>444</v>
      </c>
      <c r="T33" s="2876"/>
      <c r="U33" s="1998"/>
      <c r="V33" s="2877" t="str">
        <f>IF(TITLE_NUMBER_PR_CHANGE="",IF(TITLE_NUMBER_PR="","",TITLE_NUMBER_PR),TITLE_NUMBER_PR_CHANGE)</f>
        <v/>
      </c>
      <c r="W33" s="2877"/>
      <c r="X33" s="2877"/>
      <c r="Y33" s="2877"/>
      <c r="Z33" s="2877"/>
      <c r="AA33" s="2877"/>
      <c r="AB33" s="952"/>
      <c r="AC33" s="2877" t="str">
        <f>IF(TITLE_NUMBER_PR_CHANGE="",IF(TITLE_NUMBER_PR="","",TITLE_NUMBER_PR),TITLE_NUMBER_PR_CHANGE)</f>
        <v/>
      </c>
      <c r="AD33" s="2877"/>
      <c r="AE33" s="2877"/>
      <c r="AF33" s="2877"/>
      <c r="AG33" s="2877"/>
      <c r="AH33" s="2877"/>
      <c r="AI33" s="952"/>
      <c r="AJ33" s="952"/>
      <c r="AK33" s="906"/>
      <c r="AL33" s="994"/>
      <c r="AM33" s="994"/>
      <c r="AN33" s="994"/>
      <c r="AO33" s="994"/>
      <c r="AP33" s="994"/>
      <c r="AQ33" s="1044">
        <v>0</v>
      </c>
    </row>
    <row s="34794" customFormat="1" customHeight="1" ht="1.05">
      <c r="A34" s="1994"/>
      <c r="B34" s="1994"/>
      <c r="C34" s="1994"/>
      <c r="D34" s="1994"/>
      <c r="E34" s="1994"/>
      <c r="F34" s="1994"/>
      <c r="G34" s="1994"/>
      <c r="H34" s="1994"/>
      <c r="I34" s="1994"/>
      <c r="J34" s="1994"/>
      <c r="K34" s="1994"/>
      <c r="L34" s="1995"/>
      <c r="M34" s="1994"/>
      <c r="N34" s="1994"/>
      <c r="O34" s="1994"/>
      <c r="S34" s="949"/>
      <c r="T34" s="949"/>
      <c r="U34" s="2080"/>
      <c r="V34" s="952"/>
      <c r="W34" s="952"/>
      <c r="X34" s="952"/>
      <c r="Y34" s="952"/>
      <c r="Z34" s="952"/>
      <c r="AA34" s="952"/>
      <c r="AB34" s="904" t="s">
        <v>445</v>
      </c>
      <c r="AC34" s="952"/>
      <c r="AD34" s="952"/>
      <c r="AE34" s="952"/>
      <c r="AF34" s="952"/>
      <c r="AG34" s="952"/>
      <c r="AH34" s="952"/>
      <c r="AI34" s="904" t="s">
        <v>445</v>
      </c>
      <c r="AL34" s="994"/>
      <c r="AM34" s="994"/>
      <c r="AN34" s="994"/>
      <c r="AO34" s="994"/>
      <c r="AP34" s="994"/>
      <c r="AQ34" s="1044">
        <v>1</v>
      </c>
    </row>
    <row customHeight="1" ht="14.699999999999998">
      <c r="Q35" s="1002"/>
      <c r="R35" s="1002"/>
      <c r="S35" s="1901"/>
      <c r="T35" s="989"/>
      <c r="U35" s="1870"/>
      <c r="V35" s="2878"/>
      <c r="W35" s="2878"/>
      <c r="X35" s="2878"/>
      <c r="Y35" s="2878"/>
      <c r="Z35" s="2878"/>
      <c r="AA35" s="2878"/>
      <c r="AB35" s="2878"/>
      <c r="AC35" s="2878"/>
      <c r="AD35" s="2878"/>
      <c r="AE35" s="2878"/>
      <c r="AF35" s="2878"/>
      <c r="AG35" s="2878"/>
      <c r="AH35" s="2878"/>
      <c r="AI35" s="2878"/>
      <c r="AQ35" s="1781">
        <v>14</v>
      </c>
    </row>
    <row customHeight="1" ht="14.699999999999998">
      <c r="Q36" s="1002"/>
      <c r="R36" s="1002"/>
      <c r="S36" s="2753" t="s">
        <v>318</v>
      </c>
      <c r="T36" s="2753"/>
      <c r="U36" s="2753"/>
      <c r="V36" s="2753"/>
      <c r="W36" s="2753"/>
      <c r="X36" s="2753"/>
      <c r="Y36" s="2753"/>
      <c r="Z36" s="2753"/>
      <c r="AA36" s="2753"/>
      <c r="AB36" s="2753"/>
      <c r="AC36" s="2753"/>
      <c r="AD36" s="2753"/>
      <c r="AE36" s="2753"/>
      <c r="AF36" s="2753"/>
      <c r="AG36" s="2753"/>
      <c r="AH36" s="2753"/>
      <c r="AI36" s="2753"/>
      <c r="AJ36" s="2753"/>
      <c r="AK36" s="2753" t="s">
        <v>319</v>
      </c>
      <c r="AQ36" s="1781">
        <v>14</v>
      </c>
    </row>
    <row customHeight="1" ht="14.699999999999998">
      <c r="Q37" s="1002"/>
      <c r="R37" s="1002"/>
      <c r="S37" s="2899" t="s">
        <v>88</v>
      </c>
      <c r="T37" s="2835" t="s">
        <v>446</v>
      </c>
      <c r="U37" s="927"/>
      <c r="V37" s="2900" t="s">
        <v>447</v>
      </c>
      <c r="W37" s="2901"/>
      <c r="X37" s="2901"/>
      <c r="Y37" s="2901"/>
      <c r="Z37" s="2901"/>
      <c r="AA37" s="2902"/>
      <c r="AB37" s="2903" t="s">
        <v>448</v>
      </c>
      <c r="AC37" s="2900" t="s">
        <v>447</v>
      </c>
      <c r="AD37" s="2901"/>
      <c r="AE37" s="2901"/>
      <c r="AF37" s="2901"/>
      <c r="AG37" s="2901"/>
      <c r="AH37" s="2902"/>
      <c r="AI37" s="2903" t="s">
        <v>449</v>
      </c>
      <c r="AJ37" s="2906" t="s">
        <v>450</v>
      </c>
      <c r="AK37" s="2753"/>
      <c r="AQ37" s="1781">
        <v>14</v>
      </c>
    </row>
    <row customHeight="1" ht="35.699999999999996">
      <c r="Q38" s="1002"/>
      <c r="R38" s="1002"/>
      <c r="S38" s="2899"/>
      <c r="T38" s="2835"/>
      <c r="U38" s="1657"/>
      <c r="V38" s="2078" t="s">
        <v>507</v>
      </c>
      <c r="W38" s="2888" t="s">
        <v>453</v>
      </c>
      <c r="X38" s="2889"/>
      <c r="Y38" s="2888" t="s">
        <v>454</v>
      </c>
      <c r="Z38" s="2895"/>
      <c r="AA38" s="2889"/>
      <c r="AB38" s="2904"/>
      <c r="AC38" s="2078" t="s">
        <v>507</v>
      </c>
      <c r="AD38" s="2888" t="s">
        <v>453</v>
      </c>
      <c r="AE38" s="2889"/>
      <c r="AF38" s="2888" t="s">
        <v>454</v>
      </c>
      <c r="AG38" s="2895"/>
      <c r="AH38" s="2889"/>
      <c r="AI38" s="2904"/>
      <c r="AJ38" s="2907"/>
      <c r="AK38" s="2753"/>
      <c r="AQ38" s="1781">
        <v>34</v>
      </c>
    </row>
    <row customHeight="1" ht="35.699999999999996">
      <c r="A39" s="1996"/>
      <c r="B39" s="1996" t="s">
        <v>155</v>
      </c>
      <c r="C39" s="1996" t="s">
        <v>156</v>
      </c>
      <c r="D39" s="1996" t="s">
        <v>157</v>
      </c>
      <c r="E39" s="1990" t="s">
        <v>455</v>
      </c>
      <c r="F39" s="1990" t="s">
        <v>456</v>
      </c>
      <c r="G39" s="1990" t="s">
        <v>457</v>
      </c>
      <c r="H39" s="1990"/>
      <c r="I39" s="1990" t="s">
        <v>508</v>
      </c>
      <c r="J39" s="1990" t="s">
        <v>460</v>
      </c>
      <c r="K39" s="1990" t="s">
        <v>509</v>
      </c>
      <c r="L39" s="1990" t="s">
        <v>436</v>
      </c>
      <c r="Q39" s="1002"/>
      <c r="R39" s="1002"/>
      <c r="S39" s="2899"/>
      <c r="T39" s="2835"/>
      <c r="U39" s="928"/>
      <c r="V39" s="2078" t="s">
        <v>510</v>
      </c>
      <c r="W39" s="1848" t="s">
        <v>511</v>
      </c>
      <c r="X39" s="1848" t="s">
        <v>512</v>
      </c>
      <c r="Y39" s="2081" t="s">
        <v>464</v>
      </c>
      <c r="Z39" s="2896" t="s">
        <v>465</v>
      </c>
      <c r="AA39" s="2897"/>
      <c r="AB39" s="2905"/>
      <c r="AC39" s="2078" t="s">
        <v>510</v>
      </c>
      <c r="AD39" s="1848" t="s">
        <v>511</v>
      </c>
      <c r="AE39" s="1848" t="s">
        <v>512</v>
      </c>
      <c r="AF39" s="2081" t="s">
        <v>464</v>
      </c>
      <c r="AG39" s="2896" t="s">
        <v>465</v>
      </c>
      <c r="AH39" s="2897"/>
      <c r="AI39" s="2905"/>
      <c r="AJ39" s="2908"/>
      <c r="AK39" s="2753"/>
      <c r="AQ39" s="1781">
        <v>34</v>
      </c>
    </row>
    <row s="35197" customFormat="1" customHeight="1" ht="0">
      <c r="A40" s="1996"/>
      <c r="B40" s="1996"/>
      <c r="C40" s="1996"/>
      <c r="D40" s="1996"/>
      <c r="E40" s="1996"/>
      <c r="F40" s="1996"/>
      <c r="G40" s="1996"/>
      <c r="H40" s="1996"/>
      <c r="I40" s="1996"/>
      <c r="J40" s="1996"/>
      <c r="K40" s="1996"/>
      <c r="L40" s="1990"/>
      <c r="M40" s="1988"/>
      <c r="N40" s="1988"/>
      <c r="O40" s="1988"/>
      <c r="P40" s="1872"/>
      <c r="Q40" s="1873"/>
      <c r="R40" s="1880">
        <v>1</v>
      </c>
      <c r="S40" s="1903" t="s">
        <v>118</v>
      </c>
      <c r="T40" s="1881" t="s">
        <v>102</v>
      </c>
      <c r="U40" s="1871" t="str">
        <f>OFFSET(U40,0,-1)</f>
        <v>2</v>
      </c>
      <c r="V40" s="2077">
        <f>OFFSET(V40,0,-1)+1</f>
        <v>3</v>
      </c>
      <c r="W40" s="2077">
        <f>OFFSET(W40,0,-1)+1</f>
        <v>4</v>
      </c>
      <c r="X40" s="2077">
        <f>OFFSET(X40,0,-1)+1</f>
        <v>5</v>
      </c>
      <c r="Y40" s="2077">
        <f>OFFSET(Y40,0,-1)+1</f>
        <v>6</v>
      </c>
      <c r="Z40" s="2898">
        <f>OFFSET(Z40,0,-1)+1</f>
        <v>7</v>
      </c>
      <c r="AA40" s="2898"/>
      <c r="AB40" s="2077">
        <f>OFFSET(AB40,0,-2)+1</f>
        <v>8</v>
      </c>
      <c r="AC40" s="2077">
        <f>OFFSET(AC40,0,-1)+1</f>
        <v>9</v>
      </c>
      <c r="AD40" s="2077">
        <f>OFFSET(AD40,0,-1)+1</f>
        <v>10</v>
      </c>
      <c r="AE40" s="2077">
        <f>OFFSET(AE40,0,-1)+1</f>
        <v>11</v>
      </c>
      <c r="AF40" s="2077">
        <f>OFFSET(AF40,0,-1)+1</f>
        <v>12</v>
      </c>
      <c r="AG40" s="2898">
        <f>OFFSET(AG40,0,-1)+1</f>
        <v>13</v>
      </c>
      <c r="AH40" s="2898"/>
      <c r="AI40" s="2077">
        <f>OFFSET(AI40,0,-2)+1</f>
        <v>14</v>
      </c>
      <c r="AJ40" s="1871">
        <f>OFFSET(AJ40,0,-1)</f>
        <v>14</v>
      </c>
      <c r="AK40" s="2077">
        <f>OFFSET(AK40,0,-1)+1</f>
        <v>15</v>
      </c>
      <c r="AL40" s="1137"/>
      <c r="AM40" s="1137"/>
      <c r="AN40" s="1137"/>
      <c r="AO40" s="1137"/>
      <c r="AP40" s="1137"/>
      <c r="AQ40" s="1122">
        <v>0</v>
      </c>
    </row>
    <row customHeight="1" ht="24">
      <c r="A41" s="1989" t="s">
        <v>254</v>
      </c>
      <c r="B41" s="1989"/>
      <c r="C41" s="1989"/>
      <c r="D41" s="1989"/>
      <c r="E41" s="2884">
        <v>1</v>
      </c>
      <c r="F41" s="1989"/>
      <c r="G41" s="1989"/>
      <c r="H41" s="1989"/>
      <c r="I41" s="1989"/>
      <c r="J41" s="1989"/>
      <c r="K41" s="1989"/>
      <c r="L41" s="1990"/>
      <c r="M41" s="1991"/>
      <c r="N41" s="1991"/>
      <c r="O41" s="1991"/>
      <c r="P41" s="987"/>
      <c r="Q41" s="986"/>
      <c r="R41" s="981"/>
      <c r="S41" s="2083">
        <f>INDEX(PT_DIFFERENTIATION_NUM_NTAR,MATCH(A41,PT_DIFFERENTIATION_NTAR_ID,0))</f>
        <v>0</v>
      </c>
      <c r="T41" s="924" t="s">
        <v>143</v>
      </c>
      <c r="U41" s="926"/>
      <c r="V41" s="2868"/>
      <c r="W41" s="2869"/>
      <c r="X41" s="2869"/>
      <c r="Y41" s="2869"/>
      <c r="Z41" s="2869"/>
      <c r="AA41" s="2869"/>
      <c r="AB41" s="2870"/>
      <c r="AC41" s="2868" t="str">
        <f>INDEX(PT_DIFFERENTIATION_NTAR,MATCH(A41,PT_DIFFERENTIATION_NTAR_ID,0))</f>
        <v/>
      </c>
      <c r="AD41" s="2869"/>
      <c r="AE41" s="2869"/>
      <c r="AF41" s="2869"/>
      <c r="AG41" s="2869"/>
      <c r="AH41" s="2869"/>
      <c r="AI41" s="2869"/>
      <c r="AJ41" s="2870"/>
      <c r="AK41"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26"/>
      <c r="AN41" s="1126" t="str">
        <f>IF(T41="","",T41)</f>
        <v>Наименование тарифа</v>
      </c>
      <c r="AO41" s="1126"/>
      <c r="AP41" s="1126"/>
      <c r="AQ41" s="1781">
        <v>23</v>
      </c>
    </row>
    <row customHeight="1" ht="24">
      <c r="A42" s="1989" t="s">
        <v>254</v>
      </c>
      <c r="B42" s="1989" t="s">
        <v>255</v>
      </c>
      <c r="C42" s="1989"/>
      <c r="D42" s="1989"/>
      <c r="E42" s="2885"/>
      <c r="F42" s="2884">
        <v>1</v>
      </c>
      <c r="G42" s="1989"/>
      <c r="H42" s="1989"/>
      <c r="I42" s="1989"/>
      <c r="J42" s="1989"/>
      <c r="K42" s="1989"/>
      <c r="L42" s="1990"/>
      <c r="M42" s="1991"/>
      <c r="N42" s="1991"/>
      <c r="O42" s="1991"/>
      <c r="P42" s="2079"/>
      <c r="Q42" s="978"/>
      <c r="R42" s="979"/>
      <c r="S42" s="2083" t="str">
        <f>INDEX(PT_DIFFERENTIATION_NUM_TER,MATCH(B42,PT_DIFFERENTIATION_TER_ID,0))</f>
        <v>.</v>
      </c>
      <c r="T42" s="934" t="s">
        <v>415</v>
      </c>
      <c r="U42" s="926"/>
      <c r="V42" s="2868"/>
      <c r="W42" s="2869"/>
      <c r="X42" s="2869"/>
      <c r="Y42" s="2869"/>
      <c r="Z42" s="2869"/>
      <c r="AA42" s="2869"/>
      <c r="AB42" s="2870"/>
      <c r="AC42" s="2868" t="str">
        <f>INDEX(PT_DIFFERENTIATION_TER,MATCH(B42,PT_DIFFERENTIATION_TER_ID,0))</f>
        <v/>
      </c>
      <c r="AD42" s="2869"/>
      <c r="AE42" s="2869"/>
      <c r="AF42" s="2869"/>
      <c r="AG42" s="2869"/>
      <c r="AH42" s="2869"/>
      <c r="AI42" s="2869"/>
      <c r="AJ42" s="2870"/>
      <c r="AK42" s="1884" t="s">
        <v>416</v>
      </c>
      <c r="AM42" s="1126"/>
      <c r="AN42" s="1126" t="str">
        <f>IF(T42="","",T42)</f>
        <v>Территория действия тарифа</v>
      </c>
      <c r="AO42" s="1126"/>
      <c r="AP42" s="1126"/>
      <c r="AQ42" s="1781">
        <v>23</v>
      </c>
    </row>
    <row customHeight="1" ht="24">
      <c r="A43" s="1989" t="s">
        <v>254</v>
      </c>
      <c r="B43" s="1989" t="s">
        <v>255</v>
      </c>
      <c r="C43" s="1989" t="s">
        <v>256</v>
      </c>
      <c r="D43" s="1989"/>
      <c r="E43" s="2885"/>
      <c r="F43" s="2885"/>
      <c r="G43" s="2884">
        <v>1</v>
      </c>
      <c r="H43" s="1989"/>
      <c r="I43" s="1989"/>
      <c r="J43" s="1989"/>
      <c r="K43" s="1989"/>
      <c r="L43" s="1990"/>
      <c r="M43" s="1991"/>
      <c r="N43" s="1991"/>
      <c r="O43" s="1991"/>
      <c r="P43" s="980"/>
      <c r="Q43" s="978"/>
      <c r="R43" s="979"/>
      <c r="S43" s="2083" t="str">
        <f>INDEX(PT_DIFFERENTIATION_NUM_CS,MATCH(C43,PT_DIFFERENTIATION_CS_ID,0))</f>
        <v>..</v>
      </c>
      <c r="T43" s="935" t="s">
        <v>499</v>
      </c>
      <c r="U43" s="926"/>
      <c r="V43" s="2868"/>
      <c r="W43" s="2869"/>
      <c r="X43" s="2869"/>
      <c r="Y43" s="2869"/>
      <c r="Z43" s="2869"/>
      <c r="AA43" s="2869"/>
      <c r="AB43" s="2870"/>
      <c r="AC43" s="2868" t="str">
        <f>INDEX(PT_DIFFERENTIATION_CS,MATCH(C43,PT_DIFFERENTIATION_CS_ID,0))</f>
        <v/>
      </c>
      <c r="AD43" s="2869"/>
      <c r="AE43" s="2869"/>
      <c r="AF43" s="2869"/>
      <c r="AG43" s="2869"/>
      <c r="AH43" s="2869"/>
      <c r="AI43" s="2869"/>
      <c r="AJ43" s="2870"/>
      <c r="AK43" s="1884" t="s">
        <v>500</v>
      </c>
      <c r="AM43" s="1126"/>
      <c r="AN43" s="1126" t="str">
        <f>IF(T43="","",T43)</f>
        <v>Наименование централизованной системы холодного водоснабжения</v>
      </c>
      <c r="AO43" s="1126"/>
      <c r="AP43" s="1126"/>
      <c r="AQ43" s="1781">
        <v>23</v>
      </c>
    </row>
    <row customHeight="1" ht="24">
      <c r="A44" s="1989" t="s">
        <v>254</v>
      </c>
      <c r="B44" s="1989" t="s">
        <v>255</v>
      </c>
      <c r="C44" s="1989" t="s">
        <v>256</v>
      </c>
      <c r="D44" s="1989" t="s">
        <v>515</v>
      </c>
      <c r="E44" s="2885"/>
      <c r="F44" s="2885"/>
      <c r="G44" s="2885"/>
      <c r="H44" s="2885"/>
      <c r="I44" s="2882" t="str">
        <f>S43&amp;".1"</f>
        <v>...1</v>
      </c>
      <c r="J44" s="1989"/>
      <c r="K44" s="1989"/>
      <c r="L44" s="1990"/>
      <c r="P44" s="2883">
        <v>1</v>
      </c>
      <c r="Q44" s="2076"/>
      <c r="R44" s="982"/>
      <c r="S44" s="2083" t="str">
        <f>$I44</f>
        <v>...1</v>
      </c>
      <c r="T44" s="911" t="s">
        <v>501</v>
      </c>
      <c r="U44" s="926"/>
      <c r="V44" s="2976"/>
      <c r="W44" s="2977"/>
      <c r="X44" s="2977"/>
      <c r="Y44" s="2977"/>
      <c r="Z44" s="2977"/>
      <c r="AA44" s="2977"/>
      <c r="AB44" s="2978"/>
      <c r="AC44" s="2979"/>
      <c r="AD44" s="2980"/>
      <c r="AE44" s="2980"/>
      <c r="AF44" s="2980"/>
      <c r="AG44" s="2980"/>
      <c r="AH44" s="2980"/>
      <c r="AI44" s="2980"/>
      <c r="AJ44" s="2981"/>
      <c r="AK44" s="1884" t="s">
        <v>502</v>
      </c>
      <c r="AM44" s="1126"/>
      <c r="AN44" s="1126" t="str">
        <f>IF(T44="","",T44)</f>
        <v>Наименование признака дифференциации</v>
      </c>
      <c r="AO44" s="1126"/>
      <c r="AP44" s="1126"/>
      <c r="AQ44" s="1781">
        <v>23</v>
      </c>
    </row>
    <row customHeight="1" ht="24">
      <c r="A45" s="1989" t="s">
        <v>254</v>
      </c>
      <c r="B45" s="1989" t="s">
        <v>255</v>
      </c>
      <c r="C45" s="1989" t="s">
        <v>256</v>
      </c>
      <c r="D45" s="1989" t="s">
        <v>515</v>
      </c>
      <c r="E45" s="2885"/>
      <c r="F45" s="2885"/>
      <c r="G45" s="2885"/>
      <c r="H45" s="2885"/>
      <c r="I45" s="2912"/>
      <c r="J45" s="2882" t="str">
        <f>I44&amp;".1"</f>
        <v>...1.1</v>
      </c>
      <c r="K45" s="1989"/>
      <c r="L45" s="1990" t="s">
        <v>424</v>
      </c>
      <c r="P45" s="2883"/>
      <c r="Q45" s="2883">
        <v>1</v>
      </c>
      <c r="R45" s="983"/>
      <c r="S45" s="2083" t="str">
        <f>$J45</f>
        <v>...1.1</v>
      </c>
      <c r="T45" s="912" t="s">
        <v>425</v>
      </c>
      <c r="U45" s="926"/>
      <c r="V45" s="2871"/>
      <c r="W45" s="2872"/>
      <c r="X45" s="2872"/>
      <c r="Y45" s="2872"/>
      <c r="Z45" s="2872"/>
      <c r="AA45" s="2872"/>
      <c r="AB45" s="2873"/>
      <c r="AC45" s="2871"/>
      <c r="AD45" s="2872"/>
      <c r="AE45" s="2872"/>
      <c r="AF45" s="2872"/>
      <c r="AG45" s="2872"/>
      <c r="AH45" s="2872"/>
      <c r="AI45" s="2872"/>
      <c r="AJ45" s="2873"/>
      <c r="AK45" s="1933" t="s">
        <v>503</v>
      </c>
      <c r="AM45" s="1126"/>
      <c r="AN45" s="1126" t="str">
        <f>IF(T45="","",T45)</f>
        <v>Группа потребителей</v>
      </c>
      <c r="AO45" s="1126"/>
      <c r="AP45" s="1126"/>
      <c r="AQ45" s="1781">
        <v>23</v>
      </c>
    </row>
    <row customHeight="1" ht="24">
      <c r="A46" s="1989" t="s">
        <v>254</v>
      </c>
      <c r="B46" s="1989" t="s">
        <v>255</v>
      </c>
      <c r="C46" s="1989" t="s">
        <v>256</v>
      </c>
      <c r="D46" s="1989" t="s">
        <v>515</v>
      </c>
      <c r="E46" s="2885"/>
      <c r="F46" s="2885"/>
      <c r="G46" s="2885"/>
      <c r="H46" s="2885"/>
      <c r="I46" s="2912"/>
      <c r="J46" s="2912"/>
      <c r="K46" s="2882" t="str">
        <f>J45&amp;".1"</f>
        <v>...1.1.1</v>
      </c>
      <c r="L46" s="1990"/>
      <c r="P46" s="2883"/>
      <c r="Q46" s="2883"/>
      <c r="R46" s="983">
        <v>1</v>
      </c>
      <c r="S46" s="2083" t="str">
        <f>$K46</f>
        <v>...1.1.1</v>
      </c>
      <c r="T46" s="2063"/>
      <c r="U46" s="926"/>
      <c r="V46" s="1377"/>
      <c r="W46" s="1377"/>
      <c r="X46" s="1883"/>
      <c r="Y46" s="2891"/>
      <c r="Z46" s="2733" t="s">
        <v>66</v>
      </c>
      <c r="AA46" s="2891"/>
      <c r="AB46" s="2733" t="s">
        <v>66</v>
      </c>
      <c r="AC46" s="1377"/>
      <c r="AD46" s="1377"/>
      <c r="AE46" s="1883"/>
      <c r="AF46" s="2891"/>
      <c r="AG46" s="2733" t="s">
        <v>66</v>
      </c>
      <c r="AH46" s="2913"/>
      <c r="AI46" s="2733" t="s">
        <v>66</v>
      </c>
      <c r="AJ46" s="2064"/>
      <c r="AK46"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37">
        <f>STRCHECKDATE(V47:AJ47)</f>
      </c>
      <c r="AM46" s="1126"/>
      <c r="AN46" s="1126" t="str">
        <f>IF(T46="","",T46)</f>
        <v/>
      </c>
      <c r="AO46" s="1126"/>
      <c r="AP46" s="1126"/>
      <c r="AQ46" s="1781">
        <v>23</v>
      </c>
    </row>
    <row customHeight="1" ht="0">
      <c r="A47" s="1989" t="s">
        <v>254</v>
      </c>
      <c r="B47" s="1989" t="s">
        <v>255</v>
      </c>
      <c r="C47" s="1989" t="s">
        <v>256</v>
      </c>
      <c r="D47" s="1989" t="s">
        <v>515</v>
      </c>
      <c r="E47" s="2885"/>
      <c r="F47" s="2885"/>
      <c r="G47" s="2885"/>
      <c r="H47" s="2885"/>
      <c r="I47" s="2912"/>
      <c r="J47" s="2912"/>
      <c r="K47" s="2882"/>
      <c r="L47" s="1990"/>
      <c r="P47" s="2883"/>
      <c r="Q47" s="2883"/>
      <c r="R47" s="983"/>
      <c r="S47" s="2082"/>
      <c r="T47" s="926"/>
      <c r="U47" s="926"/>
      <c r="V47" s="951"/>
      <c r="W47" s="951"/>
      <c r="X47" s="954" t="str">
        <f>Y46&amp;"-"&amp;AA46</f>
        <v>-</v>
      </c>
      <c r="Y47" s="2892"/>
      <c r="Z47" s="2733"/>
      <c r="AA47" s="2892"/>
      <c r="AB47" s="2733"/>
      <c r="AC47" s="951"/>
      <c r="AD47" s="951"/>
      <c r="AE47" s="954" t="str">
        <f>AF46&amp;"-"&amp;AH46</f>
        <v>-</v>
      </c>
      <c r="AF47" s="2892"/>
      <c r="AG47" s="2733"/>
      <c r="AH47" s="2914"/>
      <c r="AI47" s="2733"/>
      <c r="AJ47" s="2065"/>
      <c r="AK47" s="2975"/>
      <c r="AM47" s="1126"/>
      <c r="AN47" s="1126" t="str">
        <f>IF(T47="","",T47)</f>
        <v/>
      </c>
      <c r="AO47" s="1126"/>
      <c r="AP47" s="1126"/>
      <c r="AQ47" s="1781">
        <v>0</v>
      </c>
    </row>
    <row customHeight="1" ht="21">
      <c r="A48" s="1989" t="s">
        <v>254</v>
      </c>
      <c r="B48" s="1989" t="s">
        <v>255</v>
      </c>
      <c r="C48" s="1989" t="s">
        <v>256</v>
      </c>
      <c r="D48" s="1989" t="s">
        <v>515</v>
      </c>
      <c r="E48" s="2885"/>
      <c r="F48" s="2885"/>
      <c r="G48" s="2885"/>
      <c r="H48" s="2885"/>
      <c r="I48" s="2912"/>
      <c r="J48" s="2882"/>
      <c r="K48" s="1989"/>
      <c r="L48" s="1990"/>
      <c r="P48" s="2883"/>
      <c r="Q48" s="2883"/>
      <c r="R48" s="982"/>
      <c r="S48" s="1904"/>
      <c r="T48" s="913" t="s">
        <v>504</v>
      </c>
      <c r="U48" s="993"/>
      <c r="V48" s="993"/>
      <c r="W48" s="993"/>
      <c r="X48" s="993"/>
      <c r="Y48" s="993"/>
      <c r="Z48" s="993"/>
      <c r="AA48" s="993"/>
      <c r="AB48" s="993"/>
      <c r="AC48" s="993"/>
      <c r="AD48" s="993"/>
      <c r="AE48" s="993"/>
      <c r="AF48" s="993"/>
      <c r="AG48" s="993"/>
      <c r="AH48" s="993"/>
      <c r="AI48" s="993"/>
      <c r="AJ48" s="993"/>
      <c r="AK48" s="1884" t="s">
        <v>505</v>
      </c>
      <c r="AM48" s="1126"/>
      <c r="AN48" s="1126" t="str">
        <f>IF(T48="","",T48)</f>
        <v>Добавить значение признака дифференциации</v>
      </c>
      <c r="AO48" s="1126"/>
      <c r="AP48" s="1126"/>
      <c r="AQ48" s="1781">
        <v>20</v>
      </c>
    </row>
    <row customHeight="1" ht="22.049999999999997">
      <c r="A49" s="1989" t="s">
        <v>254</v>
      </c>
      <c r="B49" s="1989" t="s">
        <v>255</v>
      </c>
      <c r="C49" s="1989" t="s">
        <v>256</v>
      </c>
      <c r="D49" s="1989" t="s">
        <v>515</v>
      </c>
      <c r="E49" s="2885"/>
      <c r="F49" s="2885"/>
      <c r="G49" s="2885"/>
      <c r="H49" s="2885"/>
      <c r="I49" s="2882"/>
      <c r="J49" s="1989"/>
      <c r="K49" s="1989"/>
      <c r="L49" s="1990"/>
      <c r="P49" s="2883"/>
      <c r="Q49" s="2076"/>
      <c r="R49" s="982"/>
      <c r="S49" s="1904"/>
      <c r="T49" s="991" t="s">
        <v>430</v>
      </c>
      <c r="U49" s="993"/>
      <c r="V49" s="993"/>
      <c r="W49" s="993"/>
      <c r="X49" s="993"/>
      <c r="Y49" s="993"/>
      <c r="Z49" s="993"/>
      <c r="AA49" s="993"/>
      <c r="AB49" s="992"/>
      <c r="AC49" s="993"/>
      <c r="AD49" s="993"/>
      <c r="AE49" s="993"/>
      <c r="AF49" s="993"/>
      <c r="AG49" s="993"/>
      <c r="AH49" s="993"/>
      <c r="AI49" s="992"/>
      <c r="AJ49" s="993"/>
      <c r="AK49" s="2066"/>
      <c r="AM49" s="1126"/>
      <c r="AN49" s="1126" t="str">
        <f>IF(T49="","",T49)</f>
        <v>Добавить группу потребителей</v>
      </c>
      <c r="AO49" s="1126"/>
      <c r="AP49" s="1126"/>
      <c r="AQ49" s="1781">
        <v>21</v>
      </c>
    </row>
    <row customHeight="1" ht="22.049999999999997">
      <c r="A50" s="1989" t="s">
        <v>254</v>
      </c>
      <c r="B50" s="1989" t="s">
        <v>255</v>
      </c>
      <c r="C50" s="1989" t="s">
        <v>256</v>
      </c>
      <c r="D50" s="1989" t="s">
        <v>515</v>
      </c>
      <c r="E50" s="2885"/>
      <c r="F50" s="2885"/>
      <c r="G50" s="2885"/>
      <c r="H50" s="2884"/>
      <c r="I50" s="1989"/>
      <c r="J50" s="1989"/>
      <c r="K50" s="1989"/>
      <c r="L50" s="1990"/>
      <c r="M50" s="1991"/>
      <c r="N50" s="1991"/>
      <c r="O50" s="1163"/>
      <c r="P50" s="986"/>
      <c r="Q50" s="1001"/>
      <c r="R50" s="981"/>
      <c r="S50" s="1904"/>
      <c r="T50" s="998" t="s">
        <v>506</v>
      </c>
      <c r="U50" s="993"/>
      <c r="V50" s="993"/>
      <c r="W50" s="993"/>
      <c r="X50" s="993"/>
      <c r="Y50" s="993"/>
      <c r="Z50" s="993"/>
      <c r="AA50" s="993"/>
      <c r="AB50" s="992"/>
      <c r="AC50" s="993"/>
      <c r="AD50" s="993"/>
      <c r="AE50" s="993"/>
      <c r="AF50" s="993"/>
      <c r="AG50" s="993"/>
      <c r="AH50" s="993"/>
      <c r="AI50" s="992"/>
      <c r="AJ50" s="993"/>
      <c r="AK50" s="929"/>
      <c r="AM50" s="1126"/>
      <c r="AN50" s="1126" t="str">
        <f>IF(T50="","",T50)</f>
        <v>Добавить наименование признака дифференциации</v>
      </c>
      <c r="AO50" s="1126"/>
      <c r="AP50" s="1126"/>
      <c r="AQ50" s="1781">
        <v>21</v>
      </c>
    </row>
    <row s="34658" customFormat="1" customHeight="1" ht="0">
      <c r="A51" s="1969" t="s">
        <v>254</v>
      </c>
      <c r="B51" s="1969" t="s">
        <v>255</v>
      </c>
      <c r="C51" s="1940"/>
      <c r="D51" s="1940"/>
      <c r="E51" s="2885"/>
      <c r="F51" s="2884"/>
      <c r="G51" s="1940"/>
      <c r="H51" s="1940"/>
      <c r="I51" s="1940"/>
      <c r="J51" s="1940"/>
      <c r="K51" s="1940"/>
      <c r="L51" s="2084"/>
      <c r="M51" s="1947"/>
      <c r="N51" s="1947"/>
      <c r="P51" s="1942"/>
      <c r="Q51" s="1943"/>
      <c r="R51" s="1942"/>
      <c r="S51" s="1948"/>
      <c r="T51" s="1951" t="s">
        <v>433</v>
      </c>
      <c r="U51" s="1950"/>
      <c r="V51" s="1950"/>
      <c r="W51" s="1950"/>
      <c r="X51" s="1950"/>
      <c r="Y51" s="1950"/>
      <c r="Z51" s="1950"/>
      <c r="AA51" s="1950"/>
      <c r="AB51" s="1950"/>
      <c r="AC51" s="1950"/>
      <c r="AD51" s="1950"/>
      <c r="AE51" s="1950"/>
      <c r="AF51" s="1950"/>
      <c r="AG51" s="1950"/>
      <c r="AH51" s="1950"/>
      <c r="AI51" s="1950"/>
      <c r="AJ51" s="1950"/>
      <c r="AK51" s="1950"/>
      <c r="AM51" s="1415"/>
      <c r="AN51" s="1415" t="str">
        <f>IF(T51="","",T51)</f>
        <v>Добавить централизованную систему для дифференциации</v>
      </c>
      <c r="AO51" s="1415"/>
      <c r="AP51" s="1415"/>
      <c r="AQ51" s="1144">
        <v>0</v>
      </c>
    </row>
    <row s="34658" customFormat="1" customHeight="1" ht="0">
      <c r="A52" s="1969" t="s">
        <v>254</v>
      </c>
      <c r="B52" s="1969"/>
      <c r="C52" s="1969"/>
      <c r="D52" s="1969"/>
      <c r="E52" s="2884"/>
      <c r="F52" s="1969"/>
      <c r="G52" s="1969"/>
      <c r="H52" s="1969"/>
      <c r="I52" s="1969"/>
      <c r="J52" s="1969"/>
      <c r="K52" s="1969"/>
      <c r="L52" s="1972"/>
      <c r="M52" s="1947"/>
      <c r="N52" s="1947"/>
      <c r="O52" s="1144"/>
      <c r="P52" s="1006"/>
      <c r="Q52" s="1970"/>
      <c r="R52" s="1006"/>
      <c r="S52" s="1948"/>
      <c r="T52" s="1951" t="s">
        <v>434</v>
      </c>
      <c r="U52" s="1950"/>
      <c r="V52" s="1950"/>
      <c r="W52" s="1950"/>
      <c r="X52" s="1950"/>
      <c r="Y52" s="1950"/>
      <c r="Z52" s="1950"/>
      <c r="AA52" s="1950"/>
      <c r="AB52" s="1950"/>
      <c r="AC52" s="1950"/>
      <c r="AD52" s="1950"/>
      <c r="AE52" s="1950"/>
      <c r="AF52" s="1950"/>
      <c r="AG52" s="1950"/>
      <c r="AH52" s="1950"/>
      <c r="AI52" s="1950"/>
      <c r="AJ52" s="1950"/>
      <c r="AK52" s="1950"/>
      <c r="AM52" s="1126"/>
      <c r="AN52" s="1126" t="str">
        <f>IF(T52="","",T52)</f>
        <v>Добавить территорию для дифференциации</v>
      </c>
      <c r="AO52" s="1126"/>
      <c r="AP52" s="1126"/>
      <c r="AQ52" s="1137">
        <v>0</v>
      </c>
    </row>
    <row s="34658" customFormat="1" customHeight="1" ht="0">
      <c r="A53" s="1940"/>
      <c r="B53" s="1940"/>
      <c r="C53" s="1940"/>
      <c r="D53" s="1940"/>
      <c r="E53" s="1969"/>
      <c r="F53" s="1940"/>
      <c r="G53" s="1940"/>
      <c r="H53" s="1940"/>
      <c r="I53" s="1940"/>
      <c r="J53" s="1940"/>
      <c r="K53" s="1940"/>
      <c r="L53" s="2084"/>
      <c r="M53" s="1947"/>
      <c r="N53" s="1947"/>
      <c r="P53" s="1942"/>
      <c r="Q53" s="1943"/>
      <c r="R53" s="1942"/>
      <c r="S53" s="1948"/>
      <c r="T53" s="1951" t="s">
        <v>466</v>
      </c>
      <c r="U53" s="1950"/>
      <c r="V53" s="1950"/>
      <c r="W53" s="1950"/>
      <c r="X53" s="1950"/>
      <c r="Y53" s="1950"/>
      <c r="Z53" s="1950"/>
      <c r="AA53" s="1950"/>
      <c r="AB53" s="1950"/>
      <c r="AC53" s="1950"/>
      <c r="AD53" s="1950"/>
      <c r="AE53" s="1950"/>
      <c r="AF53" s="1950"/>
      <c r="AG53" s="1950"/>
      <c r="AH53" s="1950"/>
      <c r="AI53" s="1950"/>
      <c r="AJ53" s="1950"/>
      <c r="AK53" s="1950"/>
      <c r="AM53" s="1415"/>
      <c r="AN53" s="1415" t="str">
        <f>IF(T53="","",T53)</f>
        <v>Добавить наименование тарифа</v>
      </c>
      <c r="AO53" s="1415"/>
      <c r="AP53" s="1415"/>
      <c r="AQ53" s="1144">
        <v>0</v>
      </c>
    </row>
    <row customHeight="1" ht="11.549999999999999">
      <c r="M54" s="1786"/>
      <c r="N54" s="1786"/>
      <c r="O54" s="1163"/>
      <c r="P54" s="1781"/>
      <c r="Q54" s="1781"/>
      <c r="R54" s="1781"/>
      <c r="S54" s="1781"/>
      <c r="AL54" s="1781"/>
      <c r="AM54" s="1781"/>
      <c r="AN54" s="1781"/>
      <c r="AO54" s="1781"/>
      <c r="AP54" s="1781"/>
      <c r="AQ54" s="1781">
        <v>11</v>
      </c>
    </row>
    <row customHeight="1" ht="14.699999999999998">
      <c r="O55" s="1163"/>
      <c r="S55" s="1879"/>
      <c r="T55" s="2911"/>
      <c r="U55" s="2911"/>
      <c r="V55" s="2911"/>
      <c r="W55" s="2911"/>
      <c r="X55" s="2911"/>
      <c r="Y55" s="2911"/>
      <c r="Z55" s="2911"/>
      <c r="AA55" s="2911"/>
      <c r="AB55" s="2911"/>
      <c r="AC55" s="2911"/>
      <c r="AD55" s="2911"/>
      <c r="AE55" s="2911"/>
      <c r="AF55" s="2911"/>
      <c r="AG55" s="2911"/>
      <c r="AH55" s="2911"/>
      <c r="AI55" s="2911"/>
      <c r="AJ55" s="2911"/>
      <c r="AK55" s="2911"/>
      <c r="AQ55" s="1781">
        <v>14</v>
      </c>
    </row>
    <row customHeight="1" ht="14.699999999999998">
      <c r="O56" s="1163"/>
      <c r="AQ56" s="1781">
        <v>14</v>
      </c>
    </row>
    <row customHeight="1" ht="14.699999999999998">
      <c r="O57" s="1163"/>
      <c r="S57" s="1879"/>
      <c r="T57" s="2911"/>
      <c r="U57" s="2911"/>
      <c r="V57" s="2911"/>
      <c r="W57" s="2911"/>
      <c r="X57" s="2911"/>
      <c r="Y57" s="2911"/>
      <c r="Z57" s="2911"/>
      <c r="AA57" s="2911"/>
      <c r="AB57" s="2911"/>
      <c r="AC57" s="2911"/>
      <c r="AD57" s="2911"/>
      <c r="AE57" s="2911"/>
      <c r="AF57" s="2911"/>
      <c r="AG57" s="2911"/>
      <c r="AH57" s="2911"/>
      <c r="AI57" s="2911"/>
      <c r="AJ57" s="2911"/>
      <c r="AK57" s="2911"/>
      <c r="AQ57" s="1781">
        <v>14</v>
      </c>
    </row>
    <row customHeight="1" ht="22.5" hidden="1">
      <c r="A58" s="1786" t="s">
        <v>82</v>
      </c>
      <c r="B58" s="1786">
        <v>0</v>
      </c>
      <c r="C58" s="1786">
        <v>0</v>
      </c>
      <c r="D58" s="1786">
        <v>0</v>
      </c>
      <c r="E58" s="1786">
        <v>0</v>
      </c>
      <c r="F58" s="1786">
        <v>0</v>
      </c>
      <c r="G58" s="1786">
        <v>0</v>
      </c>
      <c r="H58" s="1786">
        <v>0</v>
      </c>
      <c r="I58" s="1786">
        <v>0</v>
      </c>
      <c r="J58" s="1786">
        <v>0</v>
      </c>
      <c r="K58" s="1786">
        <v>0</v>
      </c>
      <c r="L58" s="2073">
        <v>0</v>
      </c>
      <c r="M58" s="1988">
        <v>0</v>
      </c>
      <c r="N58" s="1988">
        <v>0</v>
      </c>
      <c r="O58" s="1988">
        <v>0</v>
      </c>
      <c r="P58" s="2072">
        <v>3</v>
      </c>
      <c r="Q58" s="970">
        <v>3</v>
      </c>
      <c r="R58" s="970">
        <v>3</v>
      </c>
      <c r="S58" s="1207">
        <v>12</v>
      </c>
      <c r="T58" s="1781">
        <v>35</v>
      </c>
      <c r="U58" s="1781">
        <v>0</v>
      </c>
      <c r="V58" s="1781">
        <v>0</v>
      </c>
      <c r="W58" s="1781">
        <v>0</v>
      </c>
      <c r="X58" s="1781">
        <v>0</v>
      </c>
      <c r="Y58" s="1781">
        <v>0</v>
      </c>
      <c r="Z58" s="1781">
        <v>0</v>
      </c>
      <c r="AA58" s="1781">
        <v>0</v>
      </c>
      <c r="AB58" s="1781">
        <v>0</v>
      </c>
      <c r="AC58" s="1781">
        <v>24</v>
      </c>
      <c r="AD58" s="1781">
        <v>24</v>
      </c>
      <c r="AE58" s="1781">
        <v>24</v>
      </c>
      <c r="AF58" s="1781">
        <v>11</v>
      </c>
      <c r="AG58" s="1781">
        <v>3</v>
      </c>
      <c r="AH58" s="1781">
        <v>11</v>
      </c>
      <c r="AI58" s="1781">
        <v>0</v>
      </c>
      <c r="AJ58" s="1781">
        <v>4</v>
      </c>
      <c r="AK58" s="1781">
        <v>115</v>
      </c>
      <c r="AL58" s="1137">
        <v>10</v>
      </c>
      <c r="AM58" s="1137">
        <v>10</v>
      </c>
      <c r="AN58" s="1137">
        <v>10</v>
      </c>
      <c r="AO58" s="1137">
        <v>10</v>
      </c>
      <c r="AP58" s="1137">
        <v>10</v>
      </c>
      <c r="AQ58" s="1781">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310459-B036-5BB7-F20E-0C11C1845D6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4.140625" hidden="1" customWidth="1"/>
    <col min="10" max="10" style="34657" width="9.8515625" hidden="1" customWidth="1"/>
    <col min="11" max="11" style="34657" width="14.71093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5.00390625" customWidth="1"/>
    <col min="21" max="21" style="34580" width="0.140625" customWidth="1"/>
    <col min="22" max="24" style="34580" width="24.7109375" hidden="1" customWidth="1"/>
    <col min="25" max="25" style="34580" width="11.7109375" hidden="1" customWidth="1"/>
    <col min="26" max="26" style="34580" width="3.7109375" hidden="1" customWidth="1"/>
    <col min="27" max="27" style="34580" width="11.7109375" hidden="1" customWidth="1"/>
    <col min="28" max="28" style="34580" width="8.57421875" hidden="1" customWidth="1"/>
    <col min="29" max="29" style="34580" width="24.7109375" customWidth="1"/>
    <col min="30" max="31" style="34580" width="24.00390625" customWidth="1"/>
    <col min="32" max="32" style="34580" width="11.00390625" customWidth="1"/>
    <col min="33" max="33" style="34580" width="3.7109375" customWidth="1"/>
    <col min="34" max="34" style="34580" width="11.00390625" customWidth="1"/>
    <col min="35" max="35" style="34580" width="8.57421875" hidden="1" customWidth="1"/>
    <col min="36" max="36" style="34580" width="4.00390625" customWidth="1"/>
    <col min="37" max="37" style="34580" width="115.00390625" customWidth="1"/>
    <col min="38" max="42" style="34658" width="10.00390625" customWidth="1"/>
    <col min="43" max="43" style="34580" width="10.57421875" hidden="1"/>
  </cols>
  <sheetData>
    <row customHeight="1" ht="22.5" hidden="1">
      <c r="X1" s="953"/>
      <c r="Y1" s="953"/>
      <c r="AE1" s="953"/>
      <c r="AF1" s="953"/>
      <c r="AQ1" s="1781" t="s">
        <v>14</v>
      </c>
    </row>
    <row customHeight="1" ht="23.25" hidden="1">
      <c r="A2" s="1989"/>
      <c r="B2" s="1989"/>
      <c r="C2" s="1989"/>
      <c r="D2" s="1989"/>
      <c r="E2" s="2884">
        <v>1</v>
      </c>
      <c r="F2" s="1989"/>
      <c r="G2" s="1989"/>
      <c r="H2" s="1989"/>
      <c r="I2" s="1989"/>
      <c r="J2" s="1989"/>
      <c r="K2" s="1989"/>
      <c r="L2" s="1990"/>
      <c r="M2" s="1991"/>
      <c r="N2" s="1991"/>
      <c r="O2" s="1991"/>
      <c r="P2" s="987"/>
      <c r="Q2" s="986"/>
      <c r="R2" s="981"/>
      <c r="S2" s="2083">
        <f>INDEX(PT_DIFFERENTIATION_NUM_NTAR,MATCH(A2,PT_DIFFERENTIATION_NTAR_ID,0))</f>
      </c>
      <c r="T2" s="924" t="s">
        <v>143</v>
      </c>
      <c r="U2" s="926"/>
      <c r="V2" s="2868"/>
      <c r="W2" s="2869"/>
      <c r="X2" s="2869"/>
      <c r="Y2" s="2869"/>
      <c r="Z2" s="2869"/>
      <c r="AA2" s="2869"/>
      <c r="AB2" s="2870"/>
      <c r="AC2" s="2868">
        <f>INDEX(PT_DIFFERENTIATION_NTAR,MATCH(A2,PT_DIFFERENTIATION_NTAR_ID,0))</f>
      </c>
      <c r="AD2" s="2869"/>
      <c r="AE2" s="2869"/>
      <c r="AF2" s="2869"/>
      <c r="AG2" s="2869"/>
      <c r="AH2" s="2869"/>
      <c r="AI2" s="2869"/>
      <c r="AJ2" s="2870"/>
      <c r="AK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26"/>
      <c r="AN2" s="1126" t="str">
        <f>IF(T2="","",T2)</f>
        <v>Наименование тарифа</v>
      </c>
      <c r="AO2" s="1126"/>
      <c r="AP2" s="1126"/>
      <c r="AQ2" s="1781">
        <v>0</v>
      </c>
    </row>
    <row customHeight="1" ht="23.25" hidden="1">
      <c r="A3" s="1989"/>
      <c r="B3" s="1989"/>
      <c r="C3" s="1989"/>
      <c r="D3" s="1989"/>
      <c r="E3" s="2885"/>
      <c r="F3" s="2884">
        <v>1</v>
      </c>
      <c r="G3" s="1989"/>
      <c r="H3" s="1989"/>
      <c r="I3" s="1989"/>
      <c r="J3" s="1989"/>
      <c r="K3" s="1989"/>
      <c r="L3" s="1990"/>
      <c r="M3" s="1991"/>
      <c r="N3" s="1991"/>
      <c r="O3" s="1991"/>
      <c r="P3" s="2079"/>
      <c r="Q3" s="978"/>
      <c r="R3" s="979"/>
      <c r="S3" s="2083">
        <f>INDEX(PT_DIFFERENTIATION_NUM_TER,MATCH(B3,PT_DIFFERENTIATION_TER_ID,0))</f>
      </c>
      <c r="T3" s="934" t="s">
        <v>415</v>
      </c>
      <c r="U3" s="926"/>
      <c r="V3" s="2868"/>
      <c r="W3" s="2869"/>
      <c r="X3" s="2869"/>
      <c r="Y3" s="2869"/>
      <c r="Z3" s="2869"/>
      <c r="AA3" s="2869"/>
      <c r="AB3" s="2870"/>
      <c r="AC3" s="2868">
        <f>INDEX(PT_DIFFERENTIATION_TER,MATCH(B3,PT_DIFFERENTIATION_TER_ID,0))</f>
      </c>
      <c r="AD3" s="2869"/>
      <c r="AE3" s="2869"/>
      <c r="AF3" s="2869"/>
      <c r="AG3" s="2869"/>
      <c r="AH3" s="2869"/>
      <c r="AI3" s="2869"/>
      <c r="AJ3" s="2870"/>
      <c r="AK3" s="1884" t="s">
        <v>416</v>
      </c>
      <c r="AM3" s="1126"/>
      <c r="AN3" s="1126" t="str">
        <f>IF(T3="","",T3)</f>
        <v>Территория действия тарифа</v>
      </c>
      <c r="AO3" s="1126"/>
      <c r="AP3" s="1126"/>
      <c r="AQ3" s="1781">
        <v>0</v>
      </c>
    </row>
    <row customHeight="1" ht="23.25" hidden="1">
      <c r="A4" s="1989"/>
      <c r="B4" s="1989"/>
      <c r="C4" s="1989"/>
      <c r="D4" s="1989"/>
      <c r="E4" s="2885"/>
      <c r="F4" s="2885"/>
      <c r="G4" s="2884">
        <v>1</v>
      </c>
      <c r="H4" s="1989"/>
      <c r="I4" s="1989"/>
      <c r="J4" s="1989"/>
      <c r="K4" s="1989"/>
      <c r="L4" s="1990"/>
      <c r="M4" s="1991"/>
      <c r="N4" s="1991"/>
      <c r="O4" s="1991"/>
      <c r="P4" s="980"/>
      <c r="Q4" s="978"/>
      <c r="R4" s="979"/>
      <c r="S4" s="2083">
        <f>INDEX(PT_DIFFERENTIATION_NUM_CS,MATCH(C4,PT_DIFFERENTIATION_CS_ID,0))</f>
      </c>
      <c r="T4" s="935" t="s">
        <v>499</v>
      </c>
      <c r="U4" s="926"/>
      <c r="V4" s="2868"/>
      <c r="W4" s="2869"/>
      <c r="X4" s="2869"/>
      <c r="Y4" s="2869"/>
      <c r="Z4" s="2869"/>
      <c r="AA4" s="2869"/>
      <c r="AB4" s="2870"/>
      <c r="AC4" s="2868">
        <f>INDEX(PT_DIFFERENTIATION_CS,MATCH(C4,PT_DIFFERENTIATION_CS_ID,0))</f>
      </c>
      <c r="AD4" s="2869"/>
      <c r="AE4" s="2869"/>
      <c r="AF4" s="2869"/>
      <c r="AG4" s="2869"/>
      <c r="AH4" s="2869"/>
      <c r="AI4" s="2869"/>
      <c r="AJ4" s="2870"/>
      <c r="AK4" s="1884" t="s">
        <v>500</v>
      </c>
      <c r="AM4" s="1126"/>
      <c r="AN4" s="1126" t="str">
        <f>IF(T4="","",T4)</f>
        <v>Наименование централизованной системы холодного водоснабжения</v>
      </c>
      <c r="AO4" s="1126"/>
      <c r="AP4" s="1126"/>
      <c r="AQ4" s="1781">
        <v>0</v>
      </c>
    </row>
    <row customHeight="1" ht="23.25" hidden="1">
      <c r="A5" s="1989"/>
      <c r="B5" s="1989"/>
      <c r="C5" s="1989"/>
      <c r="D5" s="1989"/>
      <c r="E5" s="2885"/>
      <c r="F5" s="2885"/>
      <c r="G5" s="2885"/>
      <c r="H5" s="2885"/>
      <c r="I5" s="2882">
        <f>S4&amp;".1"</f>
      </c>
      <c r="J5" s="1989"/>
      <c r="K5" s="1989"/>
      <c r="L5" s="1990"/>
      <c r="P5" s="2883">
        <v>1</v>
      </c>
      <c r="Q5" s="2076"/>
      <c r="R5" s="982"/>
      <c r="S5" s="2083">
        <f>$I5</f>
      </c>
      <c r="T5" s="911" t="s">
        <v>501</v>
      </c>
      <c r="U5" s="926"/>
      <c r="V5" s="2976"/>
      <c r="W5" s="2977"/>
      <c r="X5" s="2977"/>
      <c r="Y5" s="2977"/>
      <c r="Z5" s="2977"/>
      <c r="AA5" s="2977"/>
      <c r="AB5" s="2978"/>
      <c r="AC5" s="2979"/>
      <c r="AD5" s="2980"/>
      <c r="AE5" s="2980"/>
      <c r="AF5" s="2980"/>
      <c r="AG5" s="2980"/>
      <c r="AH5" s="2980"/>
      <c r="AI5" s="2980"/>
      <c r="AJ5" s="2981"/>
      <c r="AK5" s="1884" t="s">
        <v>502</v>
      </c>
      <c r="AM5" s="1126"/>
      <c r="AN5" s="1126" t="str">
        <f>IF(T5="","",T5)</f>
        <v>Наименование признака дифференциации</v>
      </c>
      <c r="AO5" s="1126"/>
      <c r="AP5" s="1126"/>
      <c r="AQ5" s="1781">
        <v>0</v>
      </c>
    </row>
    <row customHeight="1" ht="23.25" hidden="1">
      <c r="A6" s="1989"/>
      <c r="B6" s="1989"/>
      <c r="C6" s="1989"/>
      <c r="D6" s="1989"/>
      <c r="E6" s="2885"/>
      <c r="F6" s="2885"/>
      <c r="G6" s="2885"/>
      <c r="H6" s="2885"/>
      <c r="I6" s="2912"/>
      <c r="J6" s="2882">
        <f>I5&amp;".1"</f>
      </c>
      <c r="K6" s="1989"/>
      <c r="L6" s="1990" t="s">
        <v>424</v>
      </c>
      <c r="P6" s="2883"/>
      <c r="Q6" s="2883">
        <v>1</v>
      </c>
      <c r="R6" s="983"/>
      <c r="S6" s="2083">
        <f>$J6</f>
      </c>
      <c r="T6" s="912" t="s">
        <v>425</v>
      </c>
      <c r="U6" s="926"/>
      <c r="V6" s="2871"/>
      <c r="W6" s="2872"/>
      <c r="X6" s="2872"/>
      <c r="Y6" s="2872"/>
      <c r="Z6" s="2872"/>
      <c r="AA6" s="2872"/>
      <c r="AB6" s="2873"/>
      <c r="AC6" s="2871"/>
      <c r="AD6" s="2872"/>
      <c r="AE6" s="2872"/>
      <c r="AF6" s="2872"/>
      <c r="AG6" s="2872"/>
      <c r="AH6" s="2872"/>
      <c r="AI6" s="2872"/>
      <c r="AJ6" s="2873"/>
      <c r="AK6" s="1933" t="s">
        <v>503</v>
      </c>
      <c r="AM6" s="1126"/>
      <c r="AN6" s="1126" t="str">
        <f>IF(T6="","",T6)</f>
        <v>Группа потребителей</v>
      </c>
      <c r="AO6" s="1126"/>
      <c r="AP6" s="1126"/>
      <c r="AQ6" s="1781">
        <v>0</v>
      </c>
    </row>
    <row customHeight="1" ht="23.25" hidden="1">
      <c r="A7" s="1989"/>
      <c r="B7" s="1989"/>
      <c r="C7" s="1989"/>
      <c r="D7" s="1989"/>
      <c r="E7" s="2885"/>
      <c r="F7" s="2885"/>
      <c r="G7" s="2885"/>
      <c r="H7" s="2885"/>
      <c r="I7" s="2912"/>
      <c r="J7" s="2912"/>
      <c r="K7" s="2882">
        <f>J6&amp;".1"</f>
      </c>
      <c r="L7" s="1990"/>
      <c r="P7" s="2883"/>
      <c r="Q7" s="2883"/>
      <c r="R7" s="983">
        <v>1</v>
      </c>
      <c r="S7" s="2083">
        <f>$K7</f>
      </c>
      <c r="T7" s="2063"/>
      <c r="U7" s="926"/>
      <c r="V7" s="1377"/>
      <c r="W7" s="1377"/>
      <c r="X7" s="1883"/>
      <c r="Y7" s="2891"/>
      <c r="Z7" s="2733" t="s">
        <v>66</v>
      </c>
      <c r="AA7" s="2891"/>
      <c r="AB7" s="2733" t="s">
        <v>66</v>
      </c>
      <c r="AC7" s="1377"/>
      <c r="AD7" s="1377"/>
      <c r="AE7" s="1883"/>
      <c r="AF7" s="2891"/>
      <c r="AG7" s="2733" t="s">
        <v>66</v>
      </c>
      <c r="AH7" s="2913"/>
      <c r="AI7" s="2733" t="s">
        <v>66</v>
      </c>
      <c r="AJ7" s="2064"/>
      <c r="AK7"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37">
        <f>STRCHECKDATE(V8:AJ8)</f>
      </c>
      <c r="AM7" s="1126"/>
      <c r="AN7" s="1126" t="str">
        <f>IF(T7="","",T7)</f>
        <v/>
      </c>
      <c r="AO7" s="1126"/>
      <c r="AP7" s="1126"/>
      <c r="AQ7" s="1781">
        <v>0</v>
      </c>
    </row>
    <row customHeight="1" ht="14.25" hidden="1">
      <c r="A8" s="1989"/>
      <c r="B8" s="1989"/>
      <c r="C8" s="1989"/>
      <c r="D8" s="1989"/>
      <c r="E8" s="2885"/>
      <c r="F8" s="2885"/>
      <c r="G8" s="2885"/>
      <c r="H8" s="2885"/>
      <c r="I8" s="2912"/>
      <c r="J8" s="2912"/>
      <c r="K8" s="2882"/>
      <c r="L8" s="1990"/>
      <c r="P8" s="2883"/>
      <c r="Q8" s="2883"/>
      <c r="R8" s="983"/>
      <c r="S8" s="2082"/>
      <c r="T8" s="926"/>
      <c r="U8" s="926"/>
      <c r="V8" s="951"/>
      <c r="W8" s="951"/>
      <c r="X8" s="954" t="str">
        <f>Y7&amp;"-"&amp;AA7</f>
        <v>-</v>
      </c>
      <c r="Y8" s="2892"/>
      <c r="Z8" s="2733"/>
      <c r="AA8" s="2892"/>
      <c r="AB8" s="2733"/>
      <c r="AC8" s="951"/>
      <c r="AD8" s="951"/>
      <c r="AE8" s="954" t="str">
        <f>AF7&amp;"-"&amp;AH7</f>
        <v>-</v>
      </c>
      <c r="AF8" s="2892"/>
      <c r="AG8" s="2733"/>
      <c r="AH8" s="2914"/>
      <c r="AI8" s="2733"/>
      <c r="AJ8" s="2065"/>
      <c r="AK8" s="2975"/>
      <c r="AM8" s="1126"/>
      <c r="AN8" s="1126" t="str">
        <f>IF(T8="","",T8)</f>
        <v/>
      </c>
      <c r="AO8" s="1126"/>
      <c r="AP8" s="1126"/>
      <c r="AQ8" s="1781">
        <v>0</v>
      </c>
    </row>
    <row customHeight="1" ht="21" hidden="1">
      <c r="A9" s="1989"/>
      <c r="B9" s="1989"/>
      <c r="C9" s="1989"/>
      <c r="D9" s="1989"/>
      <c r="E9" s="2885"/>
      <c r="F9" s="2885"/>
      <c r="G9" s="2885"/>
      <c r="H9" s="2885"/>
      <c r="I9" s="2912"/>
      <c r="J9" s="2882"/>
      <c r="K9" s="1989"/>
      <c r="L9" s="1990"/>
      <c r="P9" s="2883"/>
      <c r="Q9" s="2883"/>
      <c r="R9" s="982"/>
      <c r="S9" s="1904"/>
      <c r="T9" s="913" t="s">
        <v>504</v>
      </c>
      <c r="U9" s="993"/>
      <c r="V9" s="993"/>
      <c r="W9" s="993"/>
      <c r="X9" s="993"/>
      <c r="Y9" s="993"/>
      <c r="Z9" s="993"/>
      <c r="AA9" s="993"/>
      <c r="AB9" s="993"/>
      <c r="AC9" s="993"/>
      <c r="AD9" s="993"/>
      <c r="AE9" s="993"/>
      <c r="AF9" s="993"/>
      <c r="AG9" s="993"/>
      <c r="AH9" s="993"/>
      <c r="AI9" s="993"/>
      <c r="AJ9" s="993"/>
      <c r="AK9" s="1884" t="s">
        <v>505</v>
      </c>
      <c r="AM9" s="1126"/>
      <c r="AN9" s="1126" t="str">
        <f>IF(T9="","",T9)</f>
        <v>Добавить значение признака дифференциации</v>
      </c>
      <c r="AO9" s="1126"/>
      <c r="AP9" s="1126"/>
      <c r="AQ9" s="1781">
        <v>0</v>
      </c>
    </row>
    <row customHeight="1" ht="21" hidden="1">
      <c r="A10" s="1989"/>
      <c r="B10" s="1989"/>
      <c r="C10" s="1989"/>
      <c r="D10" s="1989"/>
      <c r="E10" s="2885"/>
      <c r="F10" s="2885"/>
      <c r="G10" s="2885"/>
      <c r="H10" s="2885"/>
      <c r="I10" s="2882"/>
      <c r="J10" s="1989"/>
      <c r="K10" s="1989"/>
      <c r="L10" s="1990"/>
      <c r="P10" s="2883"/>
      <c r="Q10" s="2076"/>
      <c r="R10" s="982"/>
      <c r="S10" s="1904"/>
      <c r="T10" s="991" t="s">
        <v>430</v>
      </c>
      <c r="U10" s="993"/>
      <c r="V10" s="993"/>
      <c r="W10" s="993"/>
      <c r="X10" s="993"/>
      <c r="Y10" s="993"/>
      <c r="Z10" s="993"/>
      <c r="AA10" s="993"/>
      <c r="AB10" s="992"/>
      <c r="AC10" s="993"/>
      <c r="AD10" s="993"/>
      <c r="AE10" s="993"/>
      <c r="AF10" s="993"/>
      <c r="AG10" s="993"/>
      <c r="AH10" s="993"/>
      <c r="AI10" s="992"/>
      <c r="AJ10" s="993"/>
      <c r="AK10" s="2066"/>
      <c r="AM10" s="1126"/>
      <c r="AN10" s="1126" t="str">
        <f>IF(T10="","",T10)</f>
        <v>Добавить группу потребителей</v>
      </c>
      <c r="AO10" s="1126"/>
      <c r="AP10" s="1126"/>
      <c r="AQ10" s="1781">
        <v>0</v>
      </c>
    </row>
    <row customHeight="1" ht="21" hidden="1">
      <c r="A11" s="1989"/>
      <c r="B11" s="1989"/>
      <c r="C11" s="1989"/>
      <c r="D11" s="1989"/>
      <c r="E11" s="2885"/>
      <c r="F11" s="2885"/>
      <c r="G11" s="2885"/>
      <c r="H11" s="2884"/>
      <c r="I11" s="1989"/>
      <c r="J11" s="1989"/>
      <c r="K11" s="1989"/>
      <c r="L11" s="1990"/>
      <c r="M11" s="1991"/>
      <c r="N11" s="1991"/>
      <c r="O11" s="1163"/>
      <c r="P11" s="986"/>
      <c r="Q11" s="1001"/>
      <c r="R11" s="981"/>
      <c r="S11" s="1904"/>
      <c r="T11" s="998" t="s">
        <v>506</v>
      </c>
      <c r="U11" s="993"/>
      <c r="V11" s="993"/>
      <c r="W11" s="993"/>
      <c r="X11" s="993"/>
      <c r="Y11" s="993"/>
      <c r="Z11" s="993"/>
      <c r="AA11" s="993"/>
      <c r="AB11" s="992"/>
      <c r="AC11" s="993"/>
      <c r="AD11" s="993"/>
      <c r="AE11" s="993"/>
      <c r="AF11" s="993"/>
      <c r="AG11" s="993"/>
      <c r="AH11" s="993"/>
      <c r="AI11" s="992"/>
      <c r="AJ11" s="993"/>
      <c r="AK11" s="929"/>
      <c r="AM11" s="1126"/>
      <c r="AN11" s="1126" t="str">
        <f>IF(T11="","",T11)</f>
        <v>Добавить наименование признака дифференциации</v>
      </c>
      <c r="AO11" s="1126"/>
      <c r="AP11" s="1126"/>
      <c r="AQ11" s="1781">
        <v>0</v>
      </c>
    </row>
    <row s="34658" customFormat="1" customHeight="1" ht="14.25" hidden="1">
      <c r="A12" s="1969"/>
      <c r="B12" s="1969"/>
      <c r="C12" s="1940"/>
      <c r="D12" s="1940"/>
      <c r="E12" s="2885"/>
      <c r="F12" s="2884"/>
      <c r="G12" s="1940"/>
      <c r="H12" s="1940"/>
      <c r="I12" s="1940"/>
      <c r="J12" s="1940"/>
      <c r="K12" s="1940"/>
      <c r="L12" s="2084"/>
      <c r="M12" s="1947"/>
      <c r="N12" s="1947"/>
      <c r="P12" s="1942"/>
      <c r="Q12" s="1943"/>
      <c r="R12" s="1942"/>
      <c r="S12" s="1948"/>
      <c r="T12" s="1951" t="s">
        <v>433</v>
      </c>
      <c r="U12" s="1950"/>
      <c r="V12" s="1950"/>
      <c r="W12" s="1950"/>
      <c r="X12" s="1950"/>
      <c r="Y12" s="1950"/>
      <c r="Z12" s="1950"/>
      <c r="AA12" s="1950"/>
      <c r="AB12" s="1950"/>
      <c r="AC12" s="1950"/>
      <c r="AD12" s="1950"/>
      <c r="AE12" s="1950"/>
      <c r="AF12" s="1950"/>
      <c r="AG12" s="1950"/>
      <c r="AH12" s="1950"/>
      <c r="AI12" s="1950"/>
      <c r="AJ12" s="1950"/>
      <c r="AK12" s="1950"/>
      <c r="AM12" s="1415"/>
      <c r="AN12" s="1415" t="str">
        <f>IF(T12="","",T12)</f>
        <v>Добавить централизованную систему для дифференциации</v>
      </c>
      <c r="AO12" s="1415"/>
      <c r="AP12" s="1415"/>
      <c r="AQ12" s="1144">
        <v>0</v>
      </c>
    </row>
    <row s="34658" customFormat="1" customHeight="1" ht="14.25" hidden="1">
      <c r="A13" s="1969"/>
      <c r="B13" s="1969"/>
      <c r="C13" s="1969"/>
      <c r="D13" s="1969"/>
      <c r="E13" s="2884"/>
      <c r="F13" s="1969"/>
      <c r="G13" s="1969"/>
      <c r="H13" s="1969"/>
      <c r="I13" s="1969"/>
      <c r="J13" s="1969"/>
      <c r="K13" s="1969"/>
      <c r="L13" s="1972"/>
      <c r="M13" s="1947"/>
      <c r="N13" s="1947"/>
      <c r="O13" s="1144"/>
      <c r="P13" s="1006"/>
      <c r="Q13" s="1970"/>
      <c r="R13" s="1006"/>
      <c r="S13" s="1948"/>
      <c r="T13" s="1951" t="s">
        <v>434</v>
      </c>
      <c r="U13" s="1950"/>
      <c r="V13" s="1950"/>
      <c r="W13" s="1950"/>
      <c r="X13" s="1950"/>
      <c r="Y13" s="1950"/>
      <c r="Z13" s="1950"/>
      <c r="AA13" s="1950"/>
      <c r="AB13" s="1950"/>
      <c r="AC13" s="1950"/>
      <c r="AD13" s="1950"/>
      <c r="AE13" s="1950"/>
      <c r="AF13" s="1950"/>
      <c r="AG13" s="1950"/>
      <c r="AH13" s="1950"/>
      <c r="AI13" s="1950"/>
      <c r="AJ13" s="1950"/>
      <c r="AK13" s="1950"/>
      <c r="AM13" s="1126"/>
      <c r="AN13" s="1126" t="str">
        <f>IF(T13="","",T13)</f>
        <v>Добавить территорию для дифференциации</v>
      </c>
      <c r="AO13" s="1126"/>
      <c r="AP13" s="1126"/>
      <c r="AQ13" s="1137">
        <v>0</v>
      </c>
    </row>
    <row customHeight="1" ht="14.25" hidden="1">
      <c r="AB14" s="953"/>
      <c r="AI14" s="953"/>
      <c r="AQ14" s="1781">
        <v>0</v>
      </c>
    </row>
    <row customHeight="1" ht="14.25" hidden="1">
      <c r="AC15" s="1986"/>
      <c r="AD15" s="1986"/>
      <c r="AE15" s="1987"/>
      <c r="AF15" s="2893"/>
      <c r="AG15" s="2894" t="s">
        <v>66</v>
      </c>
      <c r="AH15" s="2893"/>
      <c r="AI15" s="2894" t="s">
        <v>66</v>
      </c>
      <c r="AQ15" s="1781">
        <v>0</v>
      </c>
    </row>
    <row customHeight="1" ht="14.25" hidden="1">
      <c r="AC16" s="1986"/>
      <c r="AD16" s="1986"/>
      <c r="AE16" s="954" t="str">
        <f>AF15&amp;"-"&amp;AH15</f>
        <v>-</v>
      </c>
      <c r="AF16" s="2894"/>
      <c r="AG16" s="2894"/>
      <c r="AH16" s="2894"/>
      <c r="AI16" s="2894"/>
      <c r="AQ16" s="1781">
        <v>0</v>
      </c>
    </row>
    <row customHeight="1" ht="14.25" hidden="1">
      <c r="AI17" s="953"/>
      <c r="AQ17" s="1781">
        <v>0</v>
      </c>
    </row>
    <row s="34657" customFormat="1" customHeight="1" ht="22.5" hidden="1">
      <c r="L18" s="2073"/>
      <c r="M18" s="1988"/>
      <c r="N18" s="1988"/>
      <c r="O18" s="1993" t="s">
        <v>435</v>
      </c>
      <c r="P18" s="1988"/>
      <c r="Q18" s="1997"/>
      <c r="R18" s="1997"/>
      <c r="S18" s="1355"/>
      <c r="Y18" s="1993"/>
      <c r="AA18" s="1993"/>
      <c r="AB18" s="1992"/>
      <c r="AF18" s="1993"/>
      <c r="AH18" s="1993"/>
      <c r="AI18" s="1992"/>
      <c r="AL18" s="1137"/>
      <c r="AM18" s="1137"/>
      <c r="AN18" s="1137"/>
      <c r="AO18" s="1137"/>
      <c r="AP18" s="1137"/>
      <c r="AQ18" s="1786">
        <v>0</v>
      </c>
    </row>
    <row s="34657" customFormat="1" customHeight="1" ht="14.25" hidden="1">
      <c r="L19" s="2073"/>
      <c r="M19" s="1988"/>
      <c r="N19" s="1988"/>
      <c r="O19" s="1988"/>
      <c r="P19" s="1988"/>
      <c r="Q19" s="1997"/>
      <c r="R19" s="1997"/>
      <c r="S19" s="1355"/>
      <c r="AB19" s="1992"/>
      <c r="AI19" s="1992"/>
      <c r="AL19" s="1137"/>
      <c r="AM19" s="1137"/>
      <c r="AN19" s="1137"/>
      <c r="AO19" s="1137"/>
      <c r="AP19" s="1137"/>
      <c r="AQ19" s="1786">
        <v>0</v>
      </c>
    </row>
    <row s="34657" customFormat="1" customHeight="1" ht="12" hidden="1">
      <c r="L20" s="2073"/>
      <c r="M20" s="1988"/>
      <c r="N20" s="1988"/>
      <c r="O20" s="1990" t="s">
        <v>436</v>
      </c>
      <c r="P20" s="1988"/>
      <c r="Q20" s="2068"/>
      <c r="R20" s="2068"/>
      <c r="S20" s="1355"/>
      <c r="T20" s="1786" t="s">
        <v>437</v>
      </c>
      <c r="Z20" s="812" t="s">
        <v>438</v>
      </c>
      <c r="AB20" s="812" t="s">
        <v>439</v>
      </c>
      <c r="AC20" s="1786" t="s">
        <v>437</v>
      </c>
      <c r="AG20" s="812" t="s">
        <v>440</v>
      </c>
      <c r="AI20" s="812" t="s">
        <v>439</v>
      </c>
      <c r="AQ20" s="1786">
        <v>0</v>
      </c>
    </row>
    <row customHeight="1" ht="14.25" hidden="1">
      <c r="O21" s="1990"/>
      <c r="AQ21" s="1781">
        <v>0</v>
      </c>
    </row>
    <row customHeight="1" ht="14.25" hidden="1">
      <c r="O22" s="1990"/>
      <c r="AQ22" s="1781">
        <v>0</v>
      </c>
    </row>
    <row customHeight="1" ht="14.699999999999998">
      <c r="Q23" s="1002"/>
      <c r="R23" s="1002"/>
      <c r="S23" s="1901"/>
      <c r="T23" s="989"/>
      <c r="U23" s="989"/>
      <c r="V23" s="1135"/>
      <c r="W23" s="1135"/>
      <c r="X23" s="1135"/>
      <c r="Y23" s="1135"/>
      <c r="Z23" s="1135"/>
      <c r="AA23" s="1135"/>
      <c r="AB23" s="1135"/>
      <c r="AC23" s="1135"/>
      <c r="AD23" s="1135"/>
      <c r="AE23" s="1135"/>
      <c r="AF23" s="1135"/>
      <c r="AG23" s="1135"/>
      <c r="AH23" s="1135"/>
      <c r="AI23" s="1135"/>
      <c r="AQ23" s="1781">
        <v>14</v>
      </c>
    </row>
    <row customHeight="1" ht="14.699999999999998">
      <c r="Q24" s="1002"/>
      <c r="R24" s="1002"/>
      <c r="S24" s="28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4"/>
      <c r="U24" s="2874"/>
      <c r="V24" s="2874"/>
      <c r="W24" s="2874"/>
      <c r="X24" s="2874"/>
      <c r="Y24" s="2874"/>
      <c r="Z24" s="2874"/>
      <c r="AA24" s="2874"/>
      <c r="AB24" s="2874"/>
      <c r="AC24" s="2874"/>
      <c r="AD24" s="2874"/>
      <c r="AE24" s="2874"/>
      <c r="AF24" s="2874"/>
      <c r="AG24" s="2874"/>
      <c r="AH24" s="2874"/>
      <c r="AI24" s="1869"/>
      <c r="AQ24" s="1781">
        <v>14</v>
      </c>
    </row>
    <row customHeight="1" ht="14.699999999999998">
      <c r="Q25" s="1002"/>
      <c r="R25" s="1002"/>
      <c r="S25" s="2875" t="str">
        <f>IF(org=0,"Не определено",org)</f>
        <v>АО "ДГК"</v>
      </c>
      <c r="T25" s="2875"/>
      <c r="U25" s="2875"/>
      <c r="V25" s="2875"/>
      <c r="W25" s="2875"/>
      <c r="X25" s="2875"/>
      <c r="Y25" s="2875"/>
      <c r="Z25" s="2875"/>
      <c r="AA25" s="2875"/>
      <c r="AB25" s="2875"/>
      <c r="AC25" s="2875"/>
      <c r="AD25" s="2875"/>
      <c r="AE25" s="2875"/>
      <c r="AF25" s="2875"/>
      <c r="AG25" s="2875"/>
      <c r="AH25" s="2875"/>
      <c r="AI25" s="1869"/>
      <c r="AQ25" s="1781">
        <v>14</v>
      </c>
    </row>
    <row customHeight="1" ht="14.25" hidden="1">
      <c r="Q26" s="1002"/>
      <c r="R26" s="1002"/>
      <c r="S26" s="1901"/>
      <c r="T26" s="989"/>
      <c r="U26" s="989"/>
      <c r="V26" s="948"/>
      <c r="W26" s="948"/>
      <c r="X26" s="948"/>
      <c r="Y26" s="948"/>
      <c r="Z26" s="948"/>
      <c r="AA26" s="948"/>
      <c r="AB26" s="948"/>
      <c r="AC26" s="948"/>
      <c r="AD26" s="948"/>
      <c r="AE26" s="948"/>
      <c r="AF26" s="948"/>
      <c r="AG26" s="948"/>
      <c r="AH26" s="948"/>
      <c r="AI26" s="948"/>
      <c r="AJ26" s="1135"/>
      <c r="AQ26" s="1781">
        <v>0</v>
      </c>
    </row>
    <row s="34794" customFormat="1" customHeight="1" ht="25.5" hidden="1">
      <c r="A27" s="1994"/>
      <c r="B27" s="1994"/>
      <c r="C27" s="1994"/>
      <c r="D27" s="1994"/>
      <c r="E27" s="1994"/>
      <c r="F27" s="1994"/>
      <c r="G27" s="1994"/>
      <c r="H27" s="1994"/>
      <c r="I27" s="1994"/>
      <c r="J27" s="1994"/>
      <c r="K27" s="1994"/>
      <c r="L27" s="1995"/>
      <c r="M27" s="1994"/>
      <c r="N27" s="1994"/>
      <c r="O27" s="1994"/>
      <c r="S27" s="2876" t="s">
        <v>42</v>
      </c>
      <c r="T27" s="2876"/>
      <c r="U27" s="1998"/>
      <c r="V27" s="2877" t="str">
        <f>IF(TITLE_NAME_OR_PR_CHANGE="",IF(TITLE_NAME_OR_PR="","",TITLE_NAME_OR_PR),TITLE_NAME_OR_PR_CHANGE)</f>
        <v/>
      </c>
      <c r="W27" s="2877"/>
      <c r="X27" s="2877"/>
      <c r="Y27" s="2877"/>
      <c r="Z27" s="2877"/>
      <c r="AA27" s="2877"/>
      <c r="AB27" s="952"/>
      <c r="AC27" s="2877" t="str">
        <f>IF(TITLE_NAME_OR_PR_CHANGE="",IF(TITLE_NAME_OR_PR="","",TITLE_NAME_OR_PR),TITLE_NAME_OR_PR_CHANGE)</f>
        <v/>
      </c>
      <c r="AD27" s="2877"/>
      <c r="AE27" s="2877"/>
      <c r="AF27" s="2877"/>
      <c r="AG27" s="2877"/>
      <c r="AH27" s="2877"/>
      <c r="AI27" s="952"/>
      <c r="AJ27" s="952"/>
      <c r="AK27" s="906"/>
      <c r="AL27" s="994"/>
      <c r="AM27" s="994"/>
      <c r="AN27" s="994"/>
      <c r="AO27" s="994"/>
      <c r="AP27" s="994"/>
      <c r="AQ27" s="1044">
        <v>0</v>
      </c>
    </row>
    <row s="34794" customFormat="1" customHeight="1" ht="18.75" hidden="1">
      <c r="A28" s="1994"/>
      <c r="B28" s="1994"/>
      <c r="C28" s="1994"/>
      <c r="D28" s="1994"/>
      <c r="E28" s="1994"/>
      <c r="F28" s="1994"/>
      <c r="G28" s="1994"/>
      <c r="H28" s="1994"/>
      <c r="I28" s="1994"/>
      <c r="J28" s="1994"/>
      <c r="K28" s="1994"/>
      <c r="L28" s="1995"/>
      <c r="M28" s="1994"/>
      <c r="N28" s="1994"/>
      <c r="O28" s="1994"/>
      <c r="S28" s="2876" t="s">
        <v>441</v>
      </c>
      <c r="T28" s="2876"/>
      <c r="U28" s="1998"/>
      <c r="V28" s="2890" t="str">
        <f>IF(TITLE_DATE_PR_CHANGE="",IF(TITLE_DATE_PR="","",TITLE_DATE_PR),TITLE_DATE_PR_CHANGE)</f>
        <v/>
      </c>
      <c r="W28" s="2890"/>
      <c r="X28" s="2890"/>
      <c r="Y28" s="2890"/>
      <c r="Z28" s="2890"/>
      <c r="AA28" s="2890"/>
      <c r="AB28" s="952"/>
      <c r="AC28" s="2890" t="str">
        <f>IF(TITLE_DATE_PR_CHANGE="",IF(TITLE_DATE_PR="","",TITLE_DATE_PR),TITLE_DATE_PR_CHANGE)</f>
        <v/>
      </c>
      <c r="AD28" s="2890"/>
      <c r="AE28" s="2890"/>
      <c r="AF28" s="2890"/>
      <c r="AG28" s="2890"/>
      <c r="AH28" s="2890"/>
      <c r="AI28" s="952"/>
      <c r="AJ28" s="952"/>
      <c r="AK28" s="906"/>
      <c r="AL28" s="994"/>
      <c r="AM28" s="994"/>
      <c r="AN28" s="994"/>
      <c r="AO28" s="994"/>
      <c r="AP28" s="994"/>
      <c r="AQ28" s="1044">
        <v>0</v>
      </c>
    </row>
    <row s="34794" customFormat="1" customHeight="1" ht="18.75" hidden="1">
      <c r="A29" s="1994"/>
      <c r="B29" s="1994"/>
      <c r="C29" s="1994"/>
      <c r="D29" s="1994"/>
      <c r="E29" s="1994"/>
      <c r="F29" s="1994"/>
      <c r="G29" s="1994"/>
      <c r="H29" s="1994"/>
      <c r="I29" s="1994"/>
      <c r="J29" s="1994"/>
      <c r="K29" s="1994"/>
      <c r="L29" s="1995"/>
      <c r="M29" s="1994"/>
      <c r="N29" s="1994"/>
      <c r="O29" s="1994"/>
      <c r="S29" s="2876" t="s">
        <v>442</v>
      </c>
      <c r="T29" s="2876"/>
      <c r="U29" s="1998"/>
      <c r="V29" s="2877" t="str">
        <f>IF(TITLE_NUMBER_PR_CHANGE="",IF(TITLE_NUMBER_PR="","",TITLE_NUMBER_PR),TITLE_NUMBER_PR_CHANGE)</f>
        <v/>
      </c>
      <c r="W29" s="2877"/>
      <c r="X29" s="2877"/>
      <c r="Y29" s="2877"/>
      <c r="Z29" s="2877"/>
      <c r="AA29" s="2877"/>
      <c r="AB29" s="952"/>
      <c r="AC29" s="2877" t="str">
        <f>IF(TITLE_NUMBER_PR_CHANGE="",IF(TITLE_NUMBER_PR="","",TITLE_NUMBER_PR),TITLE_NUMBER_PR_CHANGE)</f>
        <v/>
      </c>
      <c r="AD29" s="2877"/>
      <c r="AE29" s="2877"/>
      <c r="AF29" s="2877"/>
      <c r="AG29" s="2877"/>
      <c r="AH29" s="2877"/>
      <c r="AI29" s="952"/>
      <c r="AJ29" s="952"/>
      <c r="AK29" s="906"/>
      <c r="AL29" s="994"/>
      <c r="AM29" s="994"/>
      <c r="AN29" s="994"/>
      <c r="AO29" s="994"/>
      <c r="AP29" s="994"/>
      <c r="AQ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43</v>
      </c>
      <c r="T30" s="2876"/>
      <c r="U30" s="1998"/>
      <c r="V30" s="2877" t="str">
        <f>IF(TITLE_IST_PUB_CHANGE="",IF(TITLE_IST_PUB="","",TITLE_IST_PUB),TITLE_IST_PUB_CHANGE)</f>
        <v/>
      </c>
      <c r="W30" s="2877"/>
      <c r="X30" s="2877"/>
      <c r="Y30" s="2877"/>
      <c r="Z30" s="2877"/>
      <c r="AA30" s="2877"/>
      <c r="AB30" s="952"/>
      <c r="AC30" s="2877" t="str">
        <f>IF(TITLE_IST_PUB_CHANGE="",IF(TITLE_IST_PUB="","",TITLE_IST_PUB),TITLE_IST_PUB_CHANGE)</f>
        <v/>
      </c>
      <c r="AD30" s="2877"/>
      <c r="AE30" s="2877"/>
      <c r="AF30" s="2877"/>
      <c r="AG30" s="2877"/>
      <c r="AH30" s="2877"/>
      <c r="AI30" s="952"/>
      <c r="AJ30" s="952"/>
      <c r="AK30" s="906"/>
      <c r="AL30" s="994"/>
      <c r="AM30" s="994"/>
      <c r="AN30" s="994"/>
      <c r="AO30" s="994"/>
      <c r="AP30" s="994"/>
      <c r="AQ30" s="1044">
        <v>0</v>
      </c>
    </row>
    <row customHeight="1" ht="14.25" hidden="1">
      <c r="Q31" s="1002"/>
      <c r="R31" s="1002"/>
      <c r="S31" s="1901"/>
      <c r="T31" s="989"/>
      <c r="U31" s="989"/>
      <c r="V31" s="948"/>
      <c r="W31" s="948"/>
      <c r="X31" s="948"/>
      <c r="Y31" s="948"/>
      <c r="Z31" s="948"/>
      <c r="AA31" s="948"/>
      <c r="AB31" s="948"/>
      <c r="AC31" s="948"/>
      <c r="AD31" s="948"/>
      <c r="AE31" s="948"/>
      <c r="AF31" s="948"/>
      <c r="AG31" s="948"/>
      <c r="AH31" s="948"/>
      <c r="AI31" s="948"/>
      <c r="AJ31" s="1135"/>
      <c r="AQ31" s="1781">
        <v>0</v>
      </c>
    </row>
    <row s="34794" customFormat="1" customHeight="1" ht="18.75" hidden="1">
      <c r="A32" s="1994"/>
      <c r="B32" s="1994"/>
      <c r="C32" s="1994"/>
      <c r="D32" s="1994"/>
      <c r="E32" s="1994"/>
      <c r="F32" s="1994"/>
      <c r="G32" s="1994"/>
      <c r="H32" s="1994"/>
      <c r="I32" s="1994"/>
      <c r="J32" s="1994"/>
      <c r="K32" s="1994"/>
      <c r="L32" s="1995"/>
      <c r="M32" s="1994"/>
      <c r="N32" s="1994"/>
      <c r="O32" s="1994"/>
      <c r="S32" s="2876" t="s">
        <v>443</v>
      </c>
      <c r="T32" s="2876"/>
      <c r="U32" s="1998"/>
      <c r="V32" s="2890" t="str">
        <f>IF(TITLE_DATE_PR_CHANGE="",IF(TITLE_DATE_PR="","",TITLE_DATE_PR),TITLE_DATE_PR_CHANGE)</f>
        <v/>
      </c>
      <c r="W32" s="2890"/>
      <c r="X32" s="2890"/>
      <c r="Y32" s="2890"/>
      <c r="Z32" s="2890"/>
      <c r="AA32" s="2890"/>
      <c r="AB32" s="952"/>
      <c r="AC32" s="2890" t="str">
        <f>IF(TITLE_DATE_PR_CHANGE="",IF(TITLE_DATE_PR="","",TITLE_DATE_PR),TITLE_DATE_PR_CHANGE)</f>
        <v/>
      </c>
      <c r="AD32" s="2890"/>
      <c r="AE32" s="2890"/>
      <c r="AF32" s="2890"/>
      <c r="AG32" s="2890"/>
      <c r="AH32" s="2890"/>
      <c r="AI32" s="952"/>
      <c r="AJ32" s="952"/>
      <c r="AK32" s="906"/>
      <c r="AL32" s="994"/>
      <c r="AM32" s="994"/>
      <c r="AN32" s="994"/>
      <c r="AO32" s="994"/>
      <c r="AP32" s="994"/>
      <c r="AQ32" s="1044">
        <v>0</v>
      </c>
    </row>
    <row s="34794" customFormat="1" customHeight="1" ht="18.75" hidden="1">
      <c r="A33" s="1994"/>
      <c r="B33" s="1994"/>
      <c r="C33" s="1994"/>
      <c r="D33" s="1994"/>
      <c r="E33" s="1994"/>
      <c r="F33" s="1994"/>
      <c r="G33" s="1994"/>
      <c r="H33" s="1994"/>
      <c r="I33" s="1994"/>
      <c r="J33" s="1994"/>
      <c r="K33" s="1994"/>
      <c r="L33" s="1995"/>
      <c r="M33" s="1994"/>
      <c r="N33" s="1994"/>
      <c r="O33" s="1994"/>
      <c r="S33" s="2876" t="s">
        <v>444</v>
      </c>
      <c r="T33" s="2876"/>
      <c r="U33" s="1998"/>
      <c r="V33" s="2877" t="str">
        <f>IF(TITLE_NUMBER_PR_CHANGE="",IF(TITLE_NUMBER_PR="","",TITLE_NUMBER_PR),TITLE_NUMBER_PR_CHANGE)</f>
        <v/>
      </c>
      <c r="W33" s="2877"/>
      <c r="X33" s="2877"/>
      <c r="Y33" s="2877"/>
      <c r="Z33" s="2877"/>
      <c r="AA33" s="2877"/>
      <c r="AB33" s="952"/>
      <c r="AC33" s="2877" t="str">
        <f>IF(TITLE_NUMBER_PR_CHANGE="",IF(TITLE_NUMBER_PR="","",TITLE_NUMBER_PR),TITLE_NUMBER_PR_CHANGE)</f>
        <v/>
      </c>
      <c r="AD33" s="2877"/>
      <c r="AE33" s="2877"/>
      <c r="AF33" s="2877"/>
      <c r="AG33" s="2877"/>
      <c r="AH33" s="2877"/>
      <c r="AI33" s="952"/>
      <c r="AJ33" s="952"/>
      <c r="AK33" s="906"/>
      <c r="AL33" s="994"/>
      <c r="AM33" s="994"/>
      <c r="AN33" s="994"/>
      <c r="AO33" s="994"/>
      <c r="AP33" s="994"/>
      <c r="AQ33" s="1044">
        <v>0</v>
      </c>
    </row>
    <row s="34794" customFormat="1" customHeight="1" ht="1.05">
      <c r="A34" s="1994"/>
      <c r="B34" s="1994"/>
      <c r="C34" s="1994"/>
      <c r="D34" s="1994"/>
      <c r="E34" s="1994"/>
      <c r="F34" s="1994"/>
      <c r="G34" s="1994"/>
      <c r="H34" s="1994"/>
      <c r="I34" s="1994"/>
      <c r="J34" s="1994"/>
      <c r="K34" s="1994"/>
      <c r="L34" s="1995"/>
      <c r="M34" s="1994"/>
      <c r="N34" s="1994"/>
      <c r="O34" s="1994"/>
      <c r="S34" s="949"/>
      <c r="T34" s="949"/>
      <c r="U34" s="2080"/>
      <c r="V34" s="952"/>
      <c r="W34" s="952"/>
      <c r="X34" s="952"/>
      <c r="Y34" s="952"/>
      <c r="Z34" s="952"/>
      <c r="AA34" s="952"/>
      <c r="AB34" s="904" t="s">
        <v>445</v>
      </c>
      <c r="AC34" s="952"/>
      <c r="AD34" s="952"/>
      <c r="AE34" s="952"/>
      <c r="AF34" s="952"/>
      <c r="AG34" s="952"/>
      <c r="AH34" s="952"/>
      <c r="AI34" s="904" t="s">
        <v>445</v>
      </c>
      <c r="AL34" s="994"/>
      <c r="AM34" s="994"/>
      <c r="AN34" s="994"/>
      <c r="AO34" s="994"/>
      <c r="AP34" s="994"/>
      <c r="AQ34" s="1044">
        <v>1</v>
      </c>
    </row>
    <row customHeight="1" ht="14.699999999999998">
      <c r="Q35" s="1002"/>
      <c r="R35" s="1002"/>
      <c r="S35" s="1901"/>
      <c r="T35" s="989"/>
      <c r="U35" s="1870"/>
      <c r="V35" s="2878"/>
      <c r="W35" s="2878"/>
      <c r="X35" s="2878"/>
      <c r="Y35" s="2878"/>
      <c r="Z35" s="2878"/>
      <c r="AA35" s="2878"/>
      <c r="AB35" s="2878"/>
      <c r="AC35" s="2878"/>
      <c r="AD35" s="2878"/>
      <c r="AE35" s="2878"/>
      <c r="AF35" s="2878"/>
      <c r="AG35" s="2878"/>
      <c r="AH35" s="2878"/>
      <c r="AI35" s="2878"/>
      <c r="AQ35" s="1781">
        <v>14</v>
      </c>
    </row>
    <row customHeight="1" ht="14.699999999999998">
      <c r="Q36" s="1002"/>
      <c r="R36" s="1002"/>
      <c r="S36" s="2753" t="s">
        <v>318</v>
      </c>
      <c r="T36" s="2753"/>
      <c r="U36" s="2753"/>
      <c r="V36" s="2753"/>
      <c r="W36" s="2753"/>
      <c r="X36" s="2753"/>
      <c r="Y36" s="2753"/>
      <c r="Z36" s="2753"/>
      <c r="AA36" s="2753"/>
      <c r="AB36" s="2753"/>
      <c r="AC36" s="2753"/>
      <c r="AD36" s="2753"/>
      <c r="AE36" s="2753"/>
      <c r="AF36" s="2753"/>
      <c r="AG36" s="2753"/>
      <c r="AH36" s="2753"/>
      <c r="AI36" s="2753"/>
      <c r="AJ36" s="2753"/>
      <c r="AK36" s="2753" t="s">
        <v>319</v>
      </c>
      <c r="AQ36" s="1781">
        <v>14</v>
      </c>
    </row>
    <row customHeight="1" ht="14.699999999999998">
      <c r="Q37" s="1002"/>
      <c r="R37" s="1002"/>
      <c r="S37" s="2899" t="s">
        <v>88</v>
      </c>
      <c r="T37" s="2835" t="s">
        <v>446</v>
      </c>
      <c r="U37" s="927"/>
      <c r="V37" s="2900" t="s">
        <v>447</v>
      </c>
      <c r="W37" s="2901"/>
      <c r="X37" s="2901"/>
      <c r="Y37" s="2901"/>
      <c r="Z37" s="2901"/>
      <c r="AA37" s="2902"/>
      <c r="AB37" s="2903" t="s">
        <v>448</v>
      </c>
      <c r="AC37" s="2900" t="s">
        <v>447</v>
      </c>
      <c r="AD37" s="2901"/>
      <c r="AE37" s="2901"/>
      <c r="AF37" s="2901"/>
      <c r="AG37" s="2901"/>
      <c r="AH37" s="2902"/>
      <c r="AI37" s="2903" t="s">
        <v>449</v>
      </c>
      <c r="AJ37" s="2906" t="s">
        <v>450</v>
      </c>
      <c r="AK37" s="2753"/>
      <c r="AQ37" s="1781">
        <v>14</v>
      </c>
    </row>
    <row customHeight="1" ht="35.699999999999996">
      <c r="Q38" s="1002"/>
      <c r="R38" s="1002"/>
      <c r="S38" s="2899"/>
      <c r="T38" s="2835"/>
      <c r="U38" s="1657"/>
      <c r="V38" s="2078" t="s">
        <v>507</v>
      </c>
      <c r="W38" s="2888" t="s">
        <v>453</v>
      </c>
      <c r="X38" s="2889"/>
      <c r="Y38" s="2888" t="s">
        <v>454</v>
      </c>
      <c r="Z38" s="2895"/>
      <c r="AA38" s="2889"/>
      <c r="AB38" s="2904"/>
      <c r="AC38" s="2078" t="s">
        <v>507</v>
      </c>
      <c r="AD38" s="2888" t="s">
        <v>453</v>
      </c>
      <c r="AE38" s="2889"/>
      <c r="AF38" s="2888" t="s">
        <v>454</v>
      </c>
      <c r="AG38" s="2895"/>
      <c r="AH38" s="2889"/>
      <c r="AI38" s="2904"/>
      <c r="AJ38" s="2907"/>
      <c r="AK38" s="2753"/>
      <c r="AQ38" s="1781">
        <v>34</v>
      </c>
    </row>
    <row customHeight="1" ht="35.699999999999996">
      <c r="A39" s="1996"/>
      <c r="B39" s="1996" t="s">
        <v>155</v>
      </c>
      <c r="C39" s="1996" t="s">
        <v>156</v>
      </c>
      <c r="D39" s="1996" t="s">
        <v>157</v>
      </c>
      <c r="E39" s="1990" t="s">
        <v>455</v>
      </c>
      <c r="F39" s="1990" t="s">
        <v>456</v>
      </c>
      <c r="G39" s="1990" t="s">
        <v>457</v>
      </c>
      <c r="H39" s="1990"/>
      <c r="I39" s="1990" t="s">
        <v>508</v>
      </c>
      <c r="J39" s="1990" t="s">
        <v>460</v>
      </c>
      <c r="K39" s="1990" t="s">
        <v>509</v>
      </c>
      <c r="L39" s="1990" t="s">
        <v>436</v>
      </c>
      <c r="Q39" s="1002"/>
      <c r="R39" s="1002"/>
      <c r="S39" s="2899"/>
      <c r="T39" s="2835"/>
      <c r="U39" s="928"/>
      <c r="V39" s="2078" t="s">
        <v>510</v>
      </c>
      <c r="W39" s="1848" t="s">
        <v>511</v>
      </c>
      <c r="X39" s="1848" t="s">
        <v>512</v>
      </c>
      <c r="Y39" s="2081" t="s">
        <v>464</v>
      </c>
      <c r="Z39" s="2896" t="s">
        <v>465</v>
      </c>
      <c r="AA39" s="2897"/>
      <c r="AB39" s="2905"/>
      <c r="AC39" s="2078" t="s">
        <v>510</v>
      </c>
      <c r="AD39" s="1848" t="s">
        <v>511</v>
      </c>
      <c r="AE39" s="1848" t="s">
        <v>512</v>
      </c>
      <c r="AF39" s="2081" t="s">
        <v>464</v>
      </c>
      <c r="AG39" s="2896" t="s">
        <v>465</v>
      </c>
      <c r="AH39" s="2897"/>
      <c r="AI39" s="2905"/>
      <c r="AJ39" s="2908"/>
      <c r="AK39" s="2753"/>
      <c r="AQ39" s="1781">
        <v>34</v>
      </c>
    </row>
    <row s="35197" customFormat="1" customHeight="1" ht="0">
      <c r="A40" s="1996"/>
      <c r="B40" s="1996"/>
      <c r="C40" s="1996"/>
      <c r="D40" s="1996"/>
      <c r="E40" s="1996"/>
      <c r="F40" s="1996"/>
      <c r="G40" s="1996"/>
      <c r="H40" s="1996"/>
      <c r="I40" s="1996"/>
      <c r="J40" s="1996"/>
      <c r="K40" s="1996"/>
      <c r="L40" s="1990"/>
      <c r="M40" s="1988"/>
      <c r="N40" s="1988"/>
      <c r="O40" s="1988"/>
      <c r="P40" s="1872"/>
      <c r="Q40" s="1873"/>
      <c r="R40" s="1880">
        <v>1</v>
      </c>
      <c r="S40" s="1903" t="s">
        <v>118</v>
      </c>
      <c r="T40" s="1881" t="s">
        <v>102</v>
      </c>
      <c r="U40" s="1871" t="str">
        <f>OFFSET(U40,0,-1)</f>
        <v>2</v>
      </c>
      <c r="V40" s="2077">
        <f>OFFSET(V40,0,-1)+1</f>
        <v>3</v>
      </c>
      <c r="W40" s="2077">
        <f>OFFSET(W40,0,-1)+1</f>
        <v>4</v>
      </c>
      <c r="X40" s="2077">
        <f>OFFSET(X40,0,-1)+1</f>
        <v>5</v>
      </c>
      <c r="Y40" s="2077">
        <f>OFFSET(Y40,0,-1)+1</f>
        <v>6</v>
      </c>
      <c r="Z40" s="2898">
        <f>OFFSET(Z40,0,-1)+1</f>
        <v>7</v>
      </c>
      <c r="AA40" s="2898"/>
      <c r="AB40" s="2077">
        <f>OFFSET(AB40,0,-2)+1</f>
        <v>8</v>
      </c>
      <c r="AC40" s="2077">
        <f>OFFSET(AC40,0,-1)+1</f>
        <v>9</v>
      </c>
      <c r="AD40" s="2077">
        <f>OFFSET(AD40,0,-1)+1</f>
        <v>10</v>
      </c>
      <c r="AE40" s="2077">
        <f>OFFSET(AE40,0,-1)+1</f>
        <v>11</v>
      </c>
      <c r="AF40" s="2077">
        <f>OFFSET(AF40,0,-1)+1</f>
        <v>12</v>
      </c>
      <c r="AG40" s="2898">
        <f>OFFSET(AG40,0,-1)+1</f>
        <v>13</v>
      </c>
      <c r="AH40" s="2898"/>
      <c r="AI40" s="2077">
        <f>OFFSET(AI40,0,-2)+1</f>
        <v>14</v>
      </c>
      <c r="AJ40" s="1871">
        <f>OFFSET(AJ40,0,-1)</f>
        <v>14</v>
      </c>
      <c r="AK40" s="2077">
        <f>OFFSET(AK40,0,-1)+1</f>
        <v>15</v>
      </c>
      <c r="AL40" s="1137"/>
      <c r="AM40" s="1137"/>
      <c r="AN40" s="1137"/>
      <c r="AO40" s="1137"/>
      <c r="AP40" s="1137"/>
      <c r="AQ40" s="1122">
        <v>0</v>
      </c>
    </row>
    <row customHeight="1" ht="24">
      <c r="A41" s="1989" t="s">
        <v>259</v>
      </c>
      <c r="B41" s="1989"/>
      <c r="C41" s="1989"/>
      <c r="D41" s="1989"/>
      <c r="E41" s="2884">
        <v>1</v>
      </c>
      <c r="F41" s="1989"/>
      <c r="G41" s="1989"/>
      <c r="H41" s="1989"/>
      <c r="I41" s="1989"/>
      <c r="J41" s="1989"/>
      <c r="K41" s="1989"/>
      <c r="L41" s="1990"/>
      <c r="M41" s="1991"/>
      <c r="N41" s="1991"/>
      <c r="O41" s="1991"/>
      <c r="P41" s="987"/>
      <c r="Q41" s="986"/>
      <c r="R41" s="981"/>
      <c r="S41" s="2083">
        <f>INDEX(PT_DIFFERENTIATION_NUM_NTAR,MATCH(A41,PT_DIFFERENTIATION_NTAR_ID,0))</f>
        <v>0</v>
      </c>
      <c r="T41" s="924" t="s">
        <v>143</v>
      </c>
      <c r="U41" s="926"/>
      <c r="V41" s="2868"/>
      <c r="W41" s="2869"/>
      <c r="X41" s="2869"/>
      <c r="Y41" s="2869"/>
      <c r="Z41" s="2869"/>
      <c r="AA41" s="2869"/>
      <c r="AB41" s="2870"/>
      <c r="AC41" s="2868" t="str">
        <f>INDEX(PT_DIFFERENTIATION_NTAR,MATCH(A41,PT_DIFFERENTIATION_NTAR_ID,0))</f>
        <v/>
      </c>
      <c r="AD41" s="2869"/>
      <c r="AE41" s="2869"/>
      <c r="AF41" s="2869"/>
      <c r="AG41" s="2869"/>
      <c r="AH41" s="2869"/>
      <c r="AI41" s="2869"/>
      <c r="AJ41" s="2870"/>
      <c r="AK41"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26"/>
      <c r="AN41" s="1126" t="str">
        <f>IF(T41="","",T41)</f>
        <v>Наименование тарифа</v>
      </c>
      <c r="AO41" s="1126"/>
      <c r="AP41" s="1126"/>
      <c r="AQ41" s="1781">
        <v>23</v>
      </c>
    </row>
    <row customHeight="1" ht="24">
      <c r="A42" s="1989" t="s">
        <v>259</v>
      </c>
      <c r="B42" s="1989" t="s">
        <v>260</v>
      </c>
      <c r="C42" s="1989"/>
      <c r="D42" s="1989"/>
      <c r="E42" s="2885"/>
      <c r="F42" s="2884">
        <v>1</v>
      </c>
      <c r="G42" s="1989"/>
      <c r="H42" s="1989"/>
      <c r="I42" s="1989"/>
      <c r="J42" s="1989"/>
      <c r="K42" s="1989"/>
      <c r="L42" s="1990"/>
      <c r="M42" s="1991"/>
      <c r="N42" s="1991"/>
      <c r="O42" s="1991"/>
      <c r="P42" s="2079"/>
      <c r="Q42" s="978"/>
      <c r="R42" s="979"/>
      <c r="S42" s="2083" t="str">
        <f>INDEX(PT_DIFFERENTIATION_NUM_TER,MATCH(B42,PT_DIFFERENTIATION_TER_ID,0))</f>
        <v>.</v>
      </c>
      <c r="T42" s="934" t="s">
        <v>415</v>
      </c>
      <c r="U42" s="926"/>
      <c r="V42" s="2868"/>
      <c r="W42" s="2869"/>
      <c r="X42" s="2869"/>
      <c r="Y42" s="2869"/>
      <c r="Z42" s="2869"/>
      <c r="AA42" s="2869"/>
      <c r="AB42" s="2870"/>
      <c r="AC42" s="2868" t="str">
        <f>INDEX(PT_DIFFERENTIATION_TER,MATCH(B42,PT_DIFFERENTIATION_TER_ID,0))</f>
        <v/>
      </c>
      <c r="AD42" s="2869"/>
      <c r="AE42" s="2869"/>
      <c r="AF42" s="2869"/>
      <c r="AG42" s="2869"/>
      <c r="AH42" s="2869"/>
      <c r="AI42" s="2869"/>
      <c r="AJ42" s="2870"/>
      <c r="AK42" s="1884" t="s">
        <v>416</v>
      </c>
      <c r="AM42" s="1126"/>
      <c r="AN42" s="1126" t="str">
        <f>IF(T42="","",T42)</f>
        <v>Территория действия тарифа</v>
      </c>
      <c r="AO42" s="1126"/>
      <c r="AP42" s="1126"/>
      <c r="AQ42" s="1781">
        <v>23</v>
      </c>
    </row>
    <row customHeight="1" ht="24">
      <c r="A43" s="1989" t="s">
        <v>259</v>
      </c>
      <c r="B43" s="1989" t="s">
        <v>260</v>
      </c>
      <c r="C43" s="1989" t="s">
        <v>261</v>
      </c>
      <c r="D43" s="1989"/>
      <c r="E43" s="2885"/>
      <c r="F43" s="2885"/>
      <c r="G43" s="2884">
        <v>1</v>
      </c>
      <c r="H43" s="1989"/>
      <c r="I43" s="1989"/>
      <c r="J43" s="1989"/>
      <c r="K43" s="1989"/>
      <c r="L43" s="1990"/>
      <c r="M43" s="1991"/>
      <c r="N43" s="1991"/>
      <c r="O43" s="1991"/>
      <c r="P43" s="980"/>
      <c r="Q43" s="978"/>
      <c r="R43" s="979"/>
      <c r="S43" s="2083" t="str">
        <f>INDEX(PT_DIFFERENTIATION_NUM_CS,MATCH(C43,PT_DIFFERENTIATION_CS_ID,0))</f>
        <v>..</v>
      </c>
      <c r="T43" s="935" t="s">
        <v>499</v>
      </c>
      <c r="U43" s="926"/>
      <c r="V43" s="2868"/>
      <c r="W43" s="2869"/>
      <c r="X43" s="2869"/>
      <c r="Y43" s="2869"/>
      <c r="Z43" s="2869"/>
      <c r="AA43" s="2869"/>
      <c r="AB43" s="2870"/>
      <c r="AC43" s="2868" t="str">
        <f>INDEX(PT_DIFFERENTIATION_CS,MATCH(C43,PT_DIFFERENTIATION_CS_ID,0))</f>
        <v/>
      </c>
      <c r="AD43" s="2869"/>
      <c r="AE43" s="2869"/>
      <c r="AF43" s="2869"/>
      <c r="AG43" s="2869"/>
      <c r="AH43" s="2869"/>
      <c r="AI43" s="2869"/>
      <c r="AJ43" s="2870"/>
      <c r="AK43" s="1884" t="s">
        <v>500</v>
      </c>
      <c r="AM43" s="1126"/>
      <c r="AN43" s="1126" t="str">
        <f>IF(T43="","",T43)</f>
        <v>Наименование централизованной системы холодного водоснабжения</v>
      </c>
      <c r="AO43" s="1126"/>
      <c r="AP43" s="1126"/>
      <c r="AQ43" s="1781">
        <v>23</v>
      </c>
    </row>
    <row customHeight="1" ht="24">
      <c r="A44" s="1989" t="s">
        <v>259</v>
      </c>
      <c r="B44" s="1989" t="s">
        <v>260</v>
      </c>
      <c r="C44" s="1989" t="s">
        <v>261</v>
      </c>
      <c r="D44" s="1989" t="s">
        <v>516</v>
      </c>
      <c r="E44" s="2885"/>
      <c r="F44" s="2885"/>
      <c r="G44" s="2885"/>
      <c r="H44" s="2885"/>
      <c r="I44" s="2882" t="str">
        <f>S43&amp;".1"</f>
        <v>...1</v>
      </c>
      <c r="J44" s="1989"/>
      <c r="K44" s="1989"/>
      <c r="L44" s="1990"/>
      <c r="P44" s="2883">
        <v>1</v>
      </c>
      <c r="Q44" s="2076"/>
      <c r="R44" s="982"/>
      <c r="S44" s="2083" t="str">
        <f>$I44</f>
        <v>...1</v>
      </c>
      <c r="T44" s="911" t="s">
        <v>501</v>
      </c>
      <c r="U44" s="926"/>
      <c r="V44" s="2976"/>
      <c r="W44" s="2977"/>
      <c r="X44" s="2977"/>
      <c r="Y44" s="2977"/>
      <c r="Z44" s="2977"/>
      <c r="AA44" s="2977"/>
      <c r="AB44" s="2978"/>
      <c r="AC44" s="2979"/>
      <c r="AD44" s="2980"/>
      <c r="AE44" s="2980"/>
      <c r="AF44" s="2980"/>
      <c r="AG44" s="2980"/>
      <c r="AH44" s="2980"/>
      <c r="AI44" s="2980"/>
      <c r="AJ44" s="2981"/>
      <c r="AK44" s="1884" t="s">
        <v>502</v>
      </c>
      <c r="AM44" s="1126"/>
      <c r="AN44" s="1126" t="str">
        <f>IF(T44="","",T44)</f>
        <v>Наименование признака дифференциации</v>
      </c>
      <c r="AO44" s="1126"/>
      <c r="AP44" s="1126"/>
      <c r="AQ44" s="1781">
        <v>23</v>
      </c>
    </row>
    <row customHeight="1" ht="24">
      <c r="A45" s="1989" t="s">
        <v>259</v>
      </c>
      <c r="B45" s="1989" t="s">
        <v>260</v>
      </c>
      <c r="C45" s="1989" t="s">
        <v>261</v>
      </c>
      <c r="D45" s="1989" t="s">
        <v>516</v>
      </c>
      <c r="E45" s="2885"/>
      <c r="F45" s="2885"/>
      <c r="G45" s="2885"/>
      <c r="H45" s="2885"/>
      <c r="I45" s="2912"/>
      <c r="J45" s="2882" t="str">
        <f>I44&amp;".1"</f>
        <v>...1.1</v>
      </c>
      <c r="K45" s="1989"/>
      <c r="L45" s="1990" t="s">
        <v>424</v>
      </c>
      <c r="P45" s="2883"/>
      <c r="Q45" s="2883">
        <v>1</v>
      </c>
      <c r="R45" s="983"/>
      <c r="S45" s="2083" t="str">
        <f>$J45</f>
        <v>...1.1</v>
      </c>
      <c r="T45" s="912" t="s">
        <v>425</v>
      </c>
      <c r="U45" s="926"/>
      <c r="V45" s="2871"/>
      <c r="W45" s="2872"/>
      <c r="X45" s="2872"/>
      <c r="Y45" s="2872"/>
      <c r="Z45" s="2872"/>
      <c r="AA45" s="2872"/>
      <c r="AB45" s="2873"/>
      <c r="AC45" s="2871"/>
      <c r="AD45" s="2872"/>
      <c r="AE45" s="2872"/>
      <c r="AF45" s="2872"/>
      <c r="AG45" s="2872"/>
      <c r="AH45" s="2872"/>
      <c r="AI45" s="2872"/>
      <c r="AJ45" s="2873"/>
      <c r="AK45" s="1933" t="s">
        <v>503</v>
      </c>
      <c r="AM45" s="1126"/>
      <c r="AN45" s="1126" t="str">
        <f>IF(T45="","",T45)</f>
        <v>Группа потребителей</v>
      </c>
      <c r="AO45" s="1126"/>
      <c r="AP45" s="1126"/>
      <c r="AQ45" s="1781">
        <v>23</v>
      </c>
    </row>
    <row customHeight="1" ht="24">
      <c r="A46" s="1989" t="s">
        <v>259</v>
      </c>
      <c r="B46" s="1989" t="s">
        <v>260</v>
      </c>
      <c r="C46" s="1989" t="s">
        <v>261</v>
      </c>
      <c r="D46" s="1989" t="s">
        <v>516</v>
      </c>
      <c r="E46" s="2885"/>
      <c r="F46" s="2885"/>
      <c r="G46" s="2885"/>
      <c r="H46" s="2885"/>
      <c r="I46" s="2912"/>
      <c r="J46" s="2912"/>
      <c r="K46" s="2882" t="str">
        <f>J45&amp;".1"</f>
        <v>...1.1.1</v>
      </c>
      <c r="L46" s="1990"/>
      <c r="P46" s="2883"/>
      <c r="Q46" s="2883"/>
      <c r="R46" s="983">
        <v>1</v>
      </c>
      <c r="S46" s="2083" t="str">
        <f>$K46</f>
        <v>...1.1.1</v>
      </c>
      <c r="T46" s="2063"/>
      <c r="U46" s="926"/>
      <c r="V46" s="1377"/>
      <c r="W46" s="1377"/>
      <c r="X46" s="1883"/>
      <c r="Y46" s="2891"/>
      <c r="Z46" s="2733" t="s">
        <v>66</v>
      </c>
      <c r="AA46" s="2891"/>
      <c r="AB46" s="2733" t="s">
        <v>66</v>
      </c>
      <c r="AC46" s="1377"/>
      <c r="AD46" s="1377"/>
      <c r="AE46" s="1883"/>
      <c r="AF46" s="2891"/>
      <c r="AG46" s="2733" t="s">
        <v>66</v>
      </c>
      <c r="AH46" s="2913"/>
      <c r="AI46" s="2733" t="s">
        <v>66</v>
      </c>
      <c r="AJ46" s="2064"/>
      <c r="AK46"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37">
        <f>STRCHECKDATE(V47:AJ47)</f>
      </c>
      <c r="AM46" s="1126"/>
      <c r="AN46" s="1126" t="str">
        <f>IF(T46="","",T46)</f>
        <v/>
      </c>
      <c r="AO46" s="1126"/>
      <c r="AP46" s="1126"/>
      <c r="AQ46" s="1781">
        <v>23</v>
      </c>
    </row>
    <row customHeight="1" ht="0">
      <c r="A47" s="1989" t="s">
        <v>259</v>
      </c>
      <c r="B47" s="1989" t="s">
        <v>260</v>
      </c>
      <c r="C47" s="1989" t="s">
        <v>261</v>
      </c>
      <c r="D47" s="1989" t="s">
        <v>516</v>
      </c>
      <c r="E47" s="2885"/>
      <c r="F47" s="2885"/>
      <c r="G47" s="2885"/>
      <c r="H47" s="2885"/>
      <c r="I47" s="2912"/>
      <c r="J47" s="2912"/>
      <c r="K47" s="2882"/>
      <c r="L47" s="1990"/>
      <c r="P47" s="2883"/>
      <c r="Q47" s="2883"/>
      <c r="R47" s="983"/>
      <c r="S47" s="2082"/>
      <c r="T47" s="926"/>
      <c r="U47" s="926"/>
      <c r="V47" s="951"/>
      <c r="W47" s="951"/>
      <c r="X47" s="954" t="str">
        <f>Y46&amp;"-"&amp;AA46</f>
        <v>-</v>
      </c>
      <c r="Y47" s="2892"/>
      <c r="Z47" s="2733"/>
      <c r="AA47" s="2892"/>
      <c r="AB47" s="2733"/>
      <c r="AC47" s="951"/>
      <c r="AD47" s="951"/>
      <c r="AE47" s="954" t="str">
        <f>AF46&amp;"-"&amp;AH46</f>
        <v>-</v>
      </c>
      <c r="AF47" s="2892"/>
      <c r="AG47" s="2733"/>
      <c r="AH47" s="2914"/>
      <c r="AI47" s="2733"/>
      <c r="AJ47" s="2065"/>
      <c r="AK47" s="2975"/>
      <c r="AM47" s="1126"/>
      <c r="AN47" s="1126" t="str">
        <f>IF(T47="","",T47)</f>
        <v/>
      </c>
      <c r="AO47" s="1126"/>
      <c r="AP47" s="1126"/>
      <c r="AQ47" s="1781">
        <v>0</v>
      </c>
    </row>
    <row customHeight="1" ht="21">
      <c r="A48" s="1989" t="s">
        <v>259</v>
      </c>
      <c r="B48" s="1989" t="s">
        <v>260</v>
      </c>
      <c r="C48" s="1989" t="s">
        <v>261</v>
      </c>
      <c r="D48" s="1989" t="s">
        <v>516</v>
      </c>
      <c r="E48" s="2885"/>
      <c r="F48" s="2885"/>
      <c r="G48" s="2885"/>
      <c r="H48" s="2885"/>
      <c r="I48" s="2912"/>
      <c r="J48" s="2882"/>
      <c r="K48" s="1989"/>
      <c r="L48" s="1990"/>
      <c r="P48" s="2883"/>
      <c r="Q48" s="2883"/>
      <c r="R48" s="982"/>
      <c r="S48" s="1904"/>
      <c r="T48" s="913" t="s">
        <v>504</v>
      </c>
      <c r="U48" s="993"/>
      <c r="V48" s="993"/>
      <c r="W48" s="993"/>
      <c r="X48" s="993"/>
      <c r="Y48" s="993"/>
      <c r="Z48" s="993"/>
      <c r="AA48" s="993"/>
      <c r="AB48" s="993"/>
      <c r="AC48" s="993"/>
      <c r="AD48" s="993"/>
      <c r="AE48" s="993"/>
      <c r="AF48" s="993"/>
      <c r="AG48" s="993"/>
      <c r="AH48" s="993"/>
      <c r="AI48" s="993"/>
      <c r="AJ48" s="993"/>
      <c r="AK48" s="1884" t="s">
        <v>505</v>
      </c>
      <c r="AM48" s="1126"/>
      <c r="AN48" s="1126" t="str">
        <f>IF(T48="","",T48)</f>
        <v>Добавить значение признака дифференциации</v>
      </c>
      <c r="AO48" s="1126"/>
      <c r="AP48" s="1126"/>
      <c r="AQ48" s="1781">
        <v>20</v>
      </c>
    </row>
    <row customHeight="1" ht="22.049999999999997">
      <c r="A49" s="1989" t="s">
        <v>259</v>
      </c>
      <c r="B49" s="1989" t="s">
        <v>260</v>
      </c>
      <c r="C49" s="1989" t="s">
        <v>261</v>
      </c>
      <c r="D49" s="1989" t="s">
        <v>516</v>
      </c>
      <c r="E49" s="2885"/>
      <c r="F49" s="2885"/>
      <c r="G49" s="2885"/>
      <c r="H49" s="2885"/>
      <c r="I49" s="2882"/>
      <c r="J49" s="1989"/>
      <c r="K49" s="1989"/>
      <c r="L49" s="1990"/>
      <c r="P49" s="2883"/>
      <c r="Q49" s="2076"/>
      <c r="R49" s="982"/>
      <c r="S49" s="1904"/>
      <c r="T49" s="991" t="s">
        <v>430</v>
      </c>
      <c r="U49" s="993"/>
      <c r="V49" s="993"/>
      <c r="W49" s="993"/>
      <c r="X49" s="993"/>
      <c r="Y49" s="993"/>
      <c r="Z49" s="993"/>
      <c r="AA49" s="993"/>
      <c r="AB49" s="992"/>
      <c r="AC49" s="993"/>
      <c r="AD49" s="993"/>
      <c r="AE49" s="993"/>
      <c r="AF49" s="993"/>
      <c r="AG49" s="993"/>
      <c r="AH49" s="993"/>
      <c r="AI49" s="992"/>
      <c r="AJ49" s="993"/>
      <c r="AK49" s="2066"/>
      <c r="AM49" s="1126"/>
      <c r="AN49" s="1126" t="str">
        <f>IF(T49="","",T49)</f>
        <v>Добавить группу потребителей</v>
      </c>
      <c r="AO49" s="1126"/>
      <c r="AP49" s="1126"/>
      <c r="AQ49" s="1781">
        <v>21</v>
      </c>
    </row>
    <row customHeight="1" ht="22.049999999999997">
      <c r="A50" s="1989" t="s">
        <v>259</v>
      </c>
      <c r="B50" s="1989" t="s">
        <v>260</v>
      </c>
      <c r="C50" s="1989" t="s">
        <v>261</v>
      </c>
      <c r="D50" s="1989" t="s">
        <v>516</v>
      </c>
      <c r="E50" s="2885"/>
      <c r="F50" s="2885"/>
      <c r="G50" s="2885"/>
      <c r="H50" s="2884"/>
      <c r="I50" s="1989"/>
      <c r="J50" s="1989"/>
      <c r="K50" s="1989"/>
      <c r="L50" s="1990"/>
      <c r="M50" s="1991"/>
      <c r="N50" s="1991"/>
      <c r="O50" s="1163"/>
      <c r="P50" s="986"/>
      <c r="Q50" s="1001"/>
      <c r="R50" s="981"/>
      <c r="S50" s="1904"/>
      <c r="T50" s="998" t="s">
        <v>506</v>
      </c>
      <c r="U50" s="993"/>
      <c r="V50" s="993"/>
      <c r="W50" s="993"/>
      <c r="X50" s="993"/>
      <c r="Y50" s="993"/>
      <c r="Z50" s="993"/>
      <c r="AA50" s="993"/>
      <c r="AB50" s="992"/>
      <c r="AC50" s="993"/>
      <c r="AD50" s="993"/>
      <c r="AE50" s="993"/>
      <c r="AF50" s="993"/>
      <c r="AG50" s="993"/>
      <c r="AH50" s="993"/>
      <c r="AI50" s="992"/>
      <c r="AJ50" s="993"/>
      <c r="AK50" s="929"/>
      <c r="AM50" s="1126"/>
      <c r="AN50" s="1126" t="str">
        <f>IF(T50="","",T50)</f>
        <v>Добавить наименование признака дифференциации</v>
      </c>
      <c r="AO50" s="1126"/>
      <c r="AP50" s="1126"/>
      <c r="AQ50" s="1781">
        <v>21</v>
      </c>
    </row>
    <row s="34658" customFormat="1" customHeight="1" ht="0">
      <c r="A51" s="1969" t="s">
        <v>259</v>
      </c>
      <c r="B51" s="1969" t="s">
        <v>260</v>
      </c>
      <c r="C51" s="1940"/>
      <c r="D51" s="1940"/>
      <c r="E51" s="2885"/>
      <c r="F51" s="2884"/>
      <c r="G51" s="1940"/>
      <c r="H51" s="1940"/>
      <c r="I51" s="1940"/>
      <c r="J51" s="1940"/>
      <c r="K51" s="1940"/>
      <c r="L51" s="2084"/>
      <c r="M51" s="1947"/>
      <c r="N51" s="1947"/>
      <c r="P51" s="1942"/>
      <c r="Q51" s="1943"/>
      <c r="R51" s="1942"/>
      <c r="S51" s="1948"/>
      <c r="T51" s="1951" t="s">
        <v>433</v>
      </c>
      <c r="U51" s="1950"/>
      <c r="V51" s="1950"/>
      <c r="W51" s="1950"/>
      <c r="X51" s="1950"/>
      <c r="Y51" s="1950"/>
      <c r="Z51" s="1950"/>
      <c r="AA51" s="1950"/>
      <c r="AB51" s="1950"/>
      <c r="AC51" s="1950"/>
      <c r="AD51" s="1950"/>
      <c r="AE51" s="1950"/>
      <c r="AF51" s="1950"/>
      <c r="AG51" s="1950"/>
      <c r="AH51" s="1950"/>
      <c r="AI51" s="1950"/>
      <c r="AJ51" s="1950"/>
      <c r="AK51" s="1950"/>
      <c r="AM51" s="1415"/>
      <c r="AN51" s="1415" t="str">
        <f>IF(T51="","",T51)</f>
        <v>Добавить централизованную систему для дифференциации</v>
      </c>
      <c r="AO51" s="1415"/>
      <c r="AP51" s="1415"/>
      <c r="AQ51" s="1144">
        <v>0</v>
      </c>
    </row>
    <row s="34658" customFormat="1" customHeight="1" ht="0">
      <c r="A52" s="1969" t="s">
        <v>259</v>
      </c>
      <c r="B52" s="1969"/>
      <c r="C52" s="1969"/>
      <c r="D52" s="1969"/>
      <c r="E52" s="2884"/>
      <c r="F52" s="1969"/>
      <c r="G52" s="1969"/>
      <c r="H52" s="1969"/>
      <c r="I52" s="1969"/>
      <c r="J52" s="1969"/>
      <c r="K52" s="1969"/>
      <c r="L52" s="1972"/>
      <c r="M52" s="1947"/>
      <c r="N52" s="1947"/>
      <c r="O52" s="1144"/>
      <c r="P52" s="1006"/>
      <c r="Q52" s="1970"/>
      <c r="R52" s="1006"/>
      <c r="S52" s="1948"/>
      <c r="T52" s="1951" t="s">
        <v>434</v>
      </c>
      <c r="U52" s="1950"/>
      <c r="V52" s="1950"/>
      <c r="W52" s="1950"/>
      <c r="X52" s="1950"/>
      <c r="Y52" s="1950"/>
      <c r="Z52" s="1950"/>
      <c r="AA52" s="1950"/>
      <c r="AB52" s="1950"/>
      <c r="AC52" s="1950"/>
      <c r="AD52" s="1950"/>
      <c r="AE52" s="1950"/>
      <c r="AF52" s="1950"/>
      <c r="AG52" s="1950"/>
      <c r="AH52" s="1950"/>
      <c r="AI52" s="1950"/>
      <c r="AJ52" s="1950"/>
      <c r="AK52" s="1950"/>
      <c r="AM52" s="1126"/>
      <c r="AN52" s="1126" t="str">
        <f>IF(T52="","",T52)</f>
        <v>Добавить территорию для дифференциации</v>
      </c>
      <c r="AO52" s="1126"/>
      <c r="AP52" s="1126"/>
      <c r="AQ52" s="1137">
        <v>0</v>
      </c>
    </row>
    <row s="34658" customFormat="1" customHeight="1" ht="0">
      <c r="A53" s="1940"/>
      <c r="B53" s="1940"/>
      <c r="C53" s="1940"/>
      <c r="D53" s="1940"/>
      <c r="E53" s="1969"/>
      <c r="F53" s="1940"/>
      <c r="G53" s="1940"/>
      <c r="H53" s="1940"/>
      <c r="I53" s="1940"/>
      <c r="J53" s="1940"/>
      <c r="K53" s="1940"/>
      <c r="L53" s="2084"/>
      <c r="M53" s="1947"/>
      <c r="N53" s="1947"/>
      <c r="P53" s="1942"/>
      <c r="Q53" s="1943"/>
      <c r="R53" s="1942"/>
      <c r="S53" s="1948"/>
      <c r="T53" s="1951" t="s">
        <v>466</v>
      </c>
      <c r="U53" s="1950"/>
      <c r="V53" s="1950"/>
      <c r="W53" s="1950"/>
      <c r="X53" s="1950"/>
      <c r="Y53" s="1950"/>
      <c r="Z53" s="1950"/>
      <c r="AA53" s="1950"/>
      <c r="AB53" s="1950"/>
      <c r="AC53" s="1950"/>
      <c r="AD53" s="1950"/>
      <c r="AE53" s="1950"/>
      <c r="AF53" s="1950"/>
      <c r="AG53" s="1950"/>
      <c r="AH53" s="1950"/>
      <c r="AI53" s="1950"/>
      <c r="AJ53" s="1950"/>
      <c r="AK53" s="1950"/>
      <c r="AM53" s="1415"/>
      <c r="AN53" s="1415" t="str">
        <f>IF(T53="","",T53)</f>
        <v>Добавить наименование тарифа</v>
      </c>
      <c r="AO53" s="1415"/>
      <c r="AP53" s="1415"/>
      <c r="AQ53" s="1144">
        <v>0</v>
      </c>
    </row>
    <row customHeight="1" ht="11.549999999999999">
      <c r="M54" s="1786"/>
      <c r="N54" s="1786"/>
      <c r="O54" s="1163"/>
      <c r="P54" s="1781"/>
      <c r="Q54" s="1781"/>
      <c r="R54" s="1781"/>
      <c r="S54" s="1781"/>
      <c r="AL54" s="1781"/>
      <c r="AM54" s="1781"/>
      <c r="AN54" s="1781"/>
      <c r="AO54" s="1781"/>
      <c r="AP54" s="1781"/>
      <c r="AQ54" s="1781">
        <v>11</v>
      </c>
    </row>
    <row customHeight="1" ht="14.699999999999998">
      <c r="O55" s="1163"/>
      <c r="S55" s="1879"/>
      <c r="T55" s="2911"/>
      <c r="U55" s="2911"/>
      <c r="V55" s="2911"/>
      <c r="W55" s="2911"/>
      <c r="X55" s="2911"/>
      <c r="Y55" s="2911"/>
      <c r="Z55" s="2911"/>
      <c r="AA55" s="2911"/>
      <c r="AB55" s="2911"/>
      <c r="AC55" s="2911"/>
      <c r="AD55" s="2911"/>
      <c r="AE55" s="2911"/>
      <c r="AF55" s="2911"/>
      <c r="AG55" s="2911"/>
      <c r="AH55" s="2911"/>
      <c r="AI55" s="2911"/>
      <c r="AJ55" s="2911"/>
      <c r="AK55" s="2911"/>
      <c r="AQ55" s="1781">
        <v>14</v>
      </c>
    </row>
    <row customHeight="1" ht="14.699999999999998">
      <c r="O56" s="1163"/>
      <c r="AQ56" s="1781">
        <v>14</v>
      </c>
    </row>
    <row customHeight="1" ht="14.699999999999998">
      <c r="O57" s="1163"/>
      <c r="S57" s="1879"/>
      <c r="T57" s="2911"/>
      <c r="U57" s="2911"/>
      <c r="V57" s="2911"/>
      <c r="W57" s="2911"/>
      <c r="X57" s="2911"/>
      <c r="Y57" s="2911"/>
      <c r="Z57" s="2911"/>
      <c r="AA57" s="2911"/>
      <c r="AB57" s="2911"/>
      <c r="AC57" s="2911"/>
      <c r="AD57" s="2911"/>
      <c r="AE57" s="2911"/>
      <c r="AF57" s="2911"/>
      <c r="AG57" s="2911"/>
      <c r="AH57" s="2911"/>
      <c r="AI57" s="2911"/>
      <c r="AJ57" s="2911"/>
      <c r="AK57" s="2911"/>
      <c r="AQ57" s="1781">
        <v>14</v>
      </c>
    </row>
    <row customHeight="1" ht="22.5" hidden="1">
      <c r="A58" s="1786" t="s">
        <v>82</v>
      </c>
      <c r="B58" s="1786">
        <v>0</v>
      </c>
      <c r="C58" s="1786">
        <v>0</v>
      </c>
      <c r="D58" s="1786">
        <v>0</v>
      </c>
      <c r="E58" s="1786">
        <v>0</v>
      </c>
      <c r="F58" s="1786">
        <v>0</v>
      </c>
      <c r="G58" s="1786">
        <v>0</v>
      </c>
      <c r="H58" s="1786">
        <v>0</v>
      </c>
      <c r="I58" s="1786">
        <v>0</v>
      </c>
      <c r="J58" s="1786">
        <v>0</v>
      </c>
      <c r="K58" s="1786">
        <v>0</v>
      </c>
      <c r="L58" s="2073">
        <v>0</v>
      </c>
      <c r="M58" s="1988">
        <v>0</v>
      </c>
      <c r="N58" s="1988">
        <v>0</v>
      </c>
      <c r="O58" s="1988">
        <v>0</v>
      </c>
      <c r="P58" s="2072">
        <v>3</v>
      </c>
      <c r="Q58" s="970">
        <v>3</v>
      </c>
      <c r="R58" s="970">
        <v>3</v>
      </c>
      <c r="S58" s="1207">
        <v>12</v>
      </c>
      <c r="T58" s="1781">
        <v>35</v>
      </c>
      <c r="U58" s="1781">
        <v>0</v>
      </c>
      <c r="V58" s="1781">
        <v>0</v>
      </c>
      <c r="W58" s="1781">
        <v>0</v>
      </c>
      <c r="X58" s="1781">
        <v>0</v>
      </c>
      <c r="Y58" s="1781">
        <v>0</v>
      </c>
      <c r="Z58" s="1781">
        <v>0</v>
      </c>
      <c r="AA58" s="1781">
        <v>0</v>
      </c>
      <c r="AB58" s="1781">
        <v>0</v>
      </c>
      <c r="AC58" s="1781">
        <v>24</v>
      </c>
      <c r="AD58" s="1781">
        <v>24</v>
      </c>
      <c r="AE58" s="1781">
        <v>24</v>
      </c>
      <c r="AF58" s="1781">
        <v>11</v>
      </c>
      <c r="AG58" s="1781">
        <v>3</v>
      </c>
      <c r="AH58" s="1781">
        <v>11</v>
      </c>
      <c r="AI58" s="1781">
        <v>0</v>
      </c>
      <c r="AJ58" s="1781">
        <v>4</v>
      </c>
      <c r="AK58" s="1781">
        <v>115</v>
      </c>
      <c r="AL58" s="1137">
        <v>10</v>
      </c>
      <c r="AM58" s="1137">
        <v>10</v>
      </c>
      <c r="AN58" s="1137">
        <v>10</v>
      </c>
      <c r="AO58" s="1137">
        <v>10</v>
      </c>
      <c r="AP58" s="1137">
        <v>10</v>
      </c>
      <c r="AQ58" s="1781">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D58176-E171-55EC-AC01-259B38DF90A9}"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34580" width="10.140625" hidden="1" customWidth="1"/>
    <col min="4" max="4" style="34580" width="11.8515625" hidden="1" customWidth="1"/>
    <col min="5" max="11" style="34580" width="10.140625" hidden="1" customWidth="1"/>
    <col min="12" max="12" style="34655" width="10.140625" hidden="1" customWidth="1"/>
    <col min="13" max="15" style="35441" width="10.140625" hidden="1" customWidth="1"/>
    <col min="16" max="16" style="35440" width="3.00390625" customWidth="1"/>
    <col min="17" max="17" style="35625" width="3.00390625" customWidth="1"/>
    <col min="18" max="18" style="35442" width="3.00390625" customWidth="1"/>
    <col min="19" max="19" style="35443" width="12.00390625" customWidth="1"/>
    <col min="20" max="20" style="34580" width="31.00390625" customWidth="1"/>
    <col min="21" max="21" style="34580" width="0.140625" customWidth="1"/>
    <col min="22" max="23" style="34580" width="21.7109375" hidden="1" customWidth="1"/>
    <col min="24" max="24" style="34580" width="11.7109375" hidden="1" customWidth="1"/>
    <col min="25" max="25" style="34580" width="3.7109375" hidden="1" customWidth="1"/>
    <col min="26" max="26" style="34580" width="11.7109375" hidden="1" customWidth="1"/>
    <col min="27" max="27" style="34580" width="8.57421875" hidden="1" customWidth="1"/>
    <col min="28" max="28" style="34580" width="27.00390625" customWidth="1"/>
    <col min="29" max="29" style="34580" width="24.57421875" customWidth="1"/>
    <col min="30" max="31" style="34580" width="21.00390625" customWidth="1"/>
    <col min="32" max="32" style="34580" width="11.00390625" customWidth="1"/>
    <col min="33" max="33" style="34580" width="3.7109375" customWidth="1"/>
    <col min="34" max="34" style="34580" width="11.00390625" customWidth="1"/>
    <col min="35" max="35" style="34580" width="8.57421875" hidden="1" customWidth="1"/>
    <col min="36" max="36" style="34580" width="4.00390625" customWidth="1"/>
    <col min="37" max="37" style="34580" width="115.00390625" customWidth="1"/>
    <col min="38" max="42" style="34658" width="10.00390625" customWidth="1"/>
    <col min="43" max="43" style="34580" width="10.57421875" hidden="1"/>
  </cols>
  <sheetData>
    <row customHeight="1" ht="0.75" hidden="1">
      <c r="AQ1" s="2257" t="s">
        <v>14</v>
      </c>
    </row>
    <row customHeight="1" ht="21" hidden="1">
      <c r="A2" s="1893"/>
      <c r="B2" s="1893"/>
      <c r="C2" s="1893"/>
      <c r="D2" s="1893"/>
      <c r="E2" s="2915">
        <v>1</v>
      </c>
      <c r="F2" s="1893"/>
      <c r="G2" s="1893"/>
      <c r="H2" s="1893"/>
      <c r="I2" s="1893"/>
      <c r="J2" s="1893"/>
      <c r="K2" s="1893"/>
      <c r="L2" s="1936"/>
      <c r="M2" s="2236"/>
      <c r="N2" s="2236"/>
      <c r="O2" s="2236"/>
      <c r="P2" s="2035"/>
      <c r="Q2" s="1499"/>
      <c r="R2" s="981"/>
      <c r="S2" s="2584">
        <f>INDEX(PT_DIFFERENTIATION_NUM_NTAR,MATCH(A2,PT_DIFFERENTIATION_NTAR_ID,0))</f>
      </c>
      <c r="T2" s="2151" t="s">
        <v>143</v>
      </c>
      <c r="U2" s="926"/>
      <c r="V2" s="2869"/>
      <c r="W2" s="2869"/>
      <c r="X2" s="2869"/>
      <c r="Y2" s="2869"/>
      <c r="Z2" s="2869"/>
      <c r="AA2" s="2870"/>
      <c r="AB2" s="2578"/>
      <c r="AC2" s="2869">
        <f>INDEX(PT_DIFFERENTIATION_NTAR,MATCH(A2,PT_DIFFERENTIATION_NTAR_ID,0))</f>
      </c>
      <c r="AD2" s="2869"/>
      <c r="AE2" s="2869"/>
      <c r="AF2" s="2869"/>
      <c r="AG2" s="2869"/>
      <c r="AH2" s="2869"/>
      <c r="AI2" s="2869"/>
      <c r="AJ2" s="2870"/>
      <c r="AK2" s="1884" t="s">
        <v>414</v>
      </c>
      <c r="AM2" s="2250"/>
      <c r="AN2" s="2250" t="str">
        <f>IF(T2="","",T2)</f>
        <v>Наименование тарифа</v>
      </c>
      <c r="AO2" s="2250"/>
      <c r="AP2" s="2250"/>
      <c r="AQ2" s="2257">
        <v>0</v>
      </c>
    </row>
    <row customHeight="1" ht="21" hidden="1">
      <c r="A3" s="1893"/>
      <c r="B3" s="1893"/>
      <c r="C3" s="1893"/>
      <c r="D3" s="1893"/>
      <c r="E3" s="2916"/>
      <c r="F3" s="2915">
        <v>1</v>
      </c>
      <c r="G3" s="1893"/>
      <c r="H3" s="1893"/>
      <c r="I3" s="1893"/>
      <c r="J3" s="1893"/>
      <c r="K3" s="1893"/>
      <c r="L3" s="1936"/>
      <c r="M3" s="2236"/>
      <c r="N3" s="2236"/>
      <c r="O3" s="2236"/>
      <c r="P3" s="2595"/>
      <c r="Q3" s="2037"/>
      <c r="R3" s="979"/>
      <c r="S3" s="2584">
        <f>INDEX(PT_DIFFERENTIATION_NUM_TER,MATCH(B3,PT_DIFFERENTIATION_TER_ID,0))</f>
      </c>
      <c r="T3" s="2148" t="s">
        <v>415</v>
      </c>
      <c r="U3" s="926"/>
      <c r="V3" s="2869"/>
      <c r="W3" s="2869"/>
      <c r="X3" s="2869"/>
      <c r="Y3" s="2869"/>
      <c r="Z3" s="2869"/>
      <c r="AA3" s="2870"/>
      <c r="AB3" s="2578"/>
      <c r="AC3" s="2869">
        <f>INDEX(PT_DIFFERENTIATION_TER,MATCH(B3,PT_DIFFERENTIATION_TER_ID,0))</f>
      </c>
      <c r="AD3" s="2869"/>
      <c r="AE3" s="2869"/>
      <c r="AF3" s="2869"/>
      <c r="AG3" s="2869"/>
      <c r="AH3" s="2869"/>
      <c r="AI3" s="2869"/>
      <c r="AJ3" s="2870"/>
      <c r="AK3" s="1884" t="s">
        <v>416</v>
      </c>
      <c r="AM3" s="2250"/>
      <c r="AN3" s="2250" t="str">
        <f>IF(T3="","",T3)</f>
        <v>Территория действия тарифа</v>
      </c>
      <c r="AO3" s="2250"/>
      <c r="AP3" s="2250"/>
      <c r="AQ3" s="2257">
        <v>0</v>
      </c>
    </row>
    <row customHeight="1" ht="22.5" hidden="1">
      <c r="A4" s="1893"/>
      <c r="B4" s="1893"/>
      <c r="C4" s="1893"/>
      <c r="D4" s="1893"/>
      <c r="E4" s="2916"/>
      <c r="F4" s="2916"/>
      <c r="G4" s="2915">
        <v>1</v>
      </c>
      <c r="H4" s="1893"/>
      <c r="I4" s="1893"/>
      <c r="J4" s="1893"/>
      <c r="K4" s="1893"/>
      <c r="L4" s="1936"/>
      <c r="M4" s="2236"/>
      <c r="N4" s="2236"/>
      <c r="O4" s="2236"/>
      <c r="P4" s="2038"/>
      <c r="Q4" s="2037"/>
      <c r="R4" s="979"/>
      <c r="S4" s="2584">
        <f>INDEX(PT_DIFFERENTIATION_NUM_CS,MATCH(C4,PT_DIFFERENTIATION_CS_ID,0))</f>
      </c>
      <c r="T4" s="935" t="s">
        <v>417</v>
      </c>
      <c r="U4" s="926"/>
      <c r="V4" s="2869"/>
      <c r="W4" s="2869"/>
      <c r="X4" s="2869"/>
      <c r="Y4" s="2869"/>
      <c r="Z4" s="2869"/>
      <c r="AA4" s="2870"/>
      <c r="AB4" s="2578"/>
      <c r="AC4" s="2869">
        <f>INDEX(PT_DIFFERENTIATION_CS,MATCH(C4,PT_DIFFERENTIATION_CS_ID,0))</f>
      </c>
      <c r="AD4" s="2869"/>
      <c r="AE4" s="2869"/>
      <c r="AF4" s="2869"/>
      <c r="AG4" s="2869"/>
      <c r="AH4" s="2869"/>
      <c r="AI4" s="2869"/>
      <c r="AJ4" s="2870"/>
      <c r="AK4" s="1884" t="s">
        <v>418</v>
      </c>
      <c r="AM4" s="2250"/>
      <c r="AN4" s="2250" t="str">
        <f>IF(T4="","",T4)</f>
        <v>Наименование системы теплоснабжения </v>
      </c>
      <c r="AO4" s="2250"/>
      <c r="AP4" s="2250"/>
      <c r="AQ4" s="2257">
        <v>0</v>
      </c>
    </row>
    <row customHeight="1" ht="21" hidden="1">
      <c r="A5" s="1893"/>
      <c r="B5" s="1893"/>
      <c r="C5" s="1893"/>
      <c r="D5" s="1893"/>
      <c r="E5" s="2916"/>
      <c r="F5" s="2916"/>
      <c r="G5" s="2916"/>
      <c r="H5" s="2915">
        <v>1</v>
      </c>
      <c r="I5" s="1893"/>
      <c r="J5" s="1893"/>
      <c r="K5" s="1893"/>
      <c r="L5" s="1936"/>
      <c r="M5" s="2236"/>
      <c r="N5" s="2236"/>
      <c r="O5" s="2236"/>
      <c r="P5" s="2038"/>
      <c r="Q5" s="2037"/>
      <c r="R5" s="979"/>
      <c r="S5" s="2584">
        <f>INDEX(PT_DIFFERENTIATION_NUM_IST_TE,MATCH(D5,PT_DIFFERENTIATION_IST_TE_ID,0))</f>
      </c>
      <c r="T5" s="936" t="s">
        <v>419</v>
      </c>
      <c r="U5" s="926"/>
      <c r="V5" s="2869"/>
      <c r="W5" s="2869"/>
      <c r="X5" s="2869"/>
      <c r="Y5" s="2869"/>
      <c r="Z5" s="2869"/>
      <c r="AA5" s="2870"/>
      <c r="AB5" s="2578"/>
      <c r="AC5" s="2869">
        <f>INDEX(PT_DIFFERENTIATION_IST_TE,MATCH(D5,PT_DIFFERENTIATION_IST_TE_ID,0))</f>
      </c>
      <c r="AD5" s="2869"/>
      <c r="AE5" s="2869"/>
      <c r="AF5" s="2869"/>
      <c r="AG5" s="2869"/>
      <c r="AH5" s="2869"/>
      <c r="AI5" s="2869"/>
      <c r="AJ5" s="2870"/>
      <c r="AK5" s="1884" t="s">
        <v>420</v>
      </c>
      <c r="AM5" s="2250"/>
      <c r="AN5" s="2250" t="str">
        <f>IF(T5="","",T5)</f>
        <v>Источник тепловой энергии  </v>
      </c>
      <c r="AO5" s="2250"/>
      <c r="AP5" s="2250"/>
      <c r="AQ5" s="2257">
        <v>0</v>
      </c>
    </row>
    <row s="34658" customFormat="1" customHeight="1" ht="0.75" hidden="1">
      <c r="A6" s="2001"/>
      <c r="B6" s="2001"/>
      <c r="C6" s="2001"/>
      <c r="D6" s="2001"/>
      <c r="E6" s="2916"/>
      <c r="F6" s="2916"/>
      <c r="G6" s="2916"/>
      <c r="H6" s="2916"/>
      <c r="I6" s="2753">
        <f>S5&amp;".1"</f>
      </c>
      <c r="J6" s="2001"/>
      <c r="K6" s="2001"/>
      <c r="L6" s="2007" t="s">
        <v>421</v>
      </c>
      <c r="M6" s="1872"/>
      <c r="N6" s="1872"/>
      <c r="O6" s="1872"/>
      <c r="P6" s="2883">
        <v>1</v>
      </c>
      <c r="Q6" s="2580"/>
      <c r="R6" s="982"/>
      <c r="S6" s="1668"/>
      <c r="T6" s="2009"/>
      <c r="U6" s="2010"/>
      <c r="V6" s="2923"/>
      <c r="W6" s="2923"/>
      <c r="X6" s="2923"/>
      <c r="Y6" s="2923"/>
      <c r="Z6" s="2923"/>
      <c r="AA6" s="2924"/>
      <c r="AB6" s="2586"/>
      <c r="AC6" s="2923"/>
      <c r="AD6" s="2923"/>
      <c r="AE6" s="2923"/>
      <c r="AF6" s="2923"/>
      <c r="AG6" s="2923"/>
      <c r="AH6" s="2923"/>
      <c r="AI6" s="2923"/>
      <c r="AJ6" s="2924"/>
      <c r="AK6" s="2011"/>
      <c r="AM6" s="2250"/>
      <c r="AN6" s="2250" t="str">
        <f>IF(T6="","",T6)</f>
        <v/>
      </c>
      <c r="AO6" s="2250"/>
      <c r="AP6" s="2250"/>
      <c r="AQ6" s="2262">
        <v>0</v>
      </c>
    </row>
    <row s="34658" customFormat="1" customHeight="1" ht="0.75" hidden="1">
      <c r="A7" s="2001"/>
      <c r="B7" s="2001"/>
      <c r="C7" s="2001"/>
      <c r="D7" s="2001"/>
      <c r="E7" s="2916"/>
      <c r="F7" s="2916"/>
      <c r="G7" s="2916"/>
      <c r="H7" s="2916"/>
      <c r="I7" s="2727"/>
      <c r="J7" s="2753">
        <f>S5&amp;".1"</f>
      </c>
      <c r="K7" s="2001"/>
      <c r="L7" s="2007"/>
      <c r="M7" s="1872"/>
      <c r="N7" s="1872"/>
      <c r="O7" s="1872"/>
      <c r="P7" s="2883"/>
      <c r="Q7" s="2883">
        <v>1</v>
      </c>
      <c r="R7" s="983"/>
      <c r="S7" s="1668"/>
      <c r="T7" s="2025"/>
      <c r="U7" s="2010"/>
      <c r="V7" s="2923"/>
      <c r="W7" s="2923"/>
      <c r="X7" s="2923"/>
      <c r="Y7" s="2923"/>
      <c r="Z7" s="2923"/>
      <c r="AA7" s="2924"/>
      <c r="AB7" s="2586"/>
      <c r="AC7" s="2923"/>
      <c r="AD7" s="2923"/>
      <c r="AE7" s="2923"/>
      <c r="AF7" s="2923"/>
      <c r="AG7" s="2923"/>
      <c r="AH7" s="2923"/>
      <c r="AI7" s="2923"/>
      <c r="AJ7" s="2924"/>
      <c r="AK7" s="2011"/>
      <c r="AM7" s="2250"/>
      <c r="AN7" s="2250" t="str">
        <f>IF(T7="","",T7)</f>
        <v/>
      </c>
      <c r="AO7" s="2250"/>
      <c r="AP7" s="2250"/>
      <c r="AQ7" s="2262">
        <v>0</v>
      </c>
    </row>
    <row customHeight="1" ht="21" hidden="1">
      <c r="A8" s="1893"/>
      <c r="B8" s="1893"/>
      <c r="C8" s="1893"/>
      <c r="D8" s="1893"/>
      <c r="E8" s="2916"/>
      <c r="F8" s="2916"/>
      <c r="G8" s="2916"/>
      <c r="H8" s="2916"/>
      <c r="I8" s="2727"/>
      <c r="J8" s="2727"/>
      <c r="K8" s="2617">
        <f>S5&amp;".1"</f>
      </c>
      <c r="L8" s="1936"/>
      <c r="P8" s="2883"/>
      <c r="Q8" s="2883"/>
      <c r="R8" s="2621">
        <v>1</v>
      </c>
      <c r="S8" s="2619">
        <f>$K8</f>
      </c>
      <c r="T8" s="2620"/>
      <c r="U8" s="926"/>
      <c r="V8" s="1377"/>
      <c r="W8" s="1883"/>
      <c r="X8" s="2618"/>
      <c r="Y8" s="2616" t="s">
        <v>66</v>
      </c>
      <c r="Z8" s="2618"/>
      <c r="AA8" s="2616" t="s">
        <v>66</v>
      </c>
      <c r="AB8" s="2622"/>
      <c r="AC8" s="2623" t="s">
        <v>22</v>
      </c>
      <c r="AD8" s="1377"/>
      <c r="AE8" s="1883"/>
      <c r="AF8" s="2581"/>
      <c r="AG8" s="2568" t="s">
        <v>66</v>
      </c>
      <c r="AH8" s="2581"/>
      <c r="AI8" s="2568" t="s">
        <v>66</v>
      </c>
      <c r="AJ8" s="1974"/>
      <c r="AK8" s="2879" t="s">
        <v>482</v>
      </c>
      <c r="AL8" s="2262">
        <f>STRCHECKDATE(#REF!)</f>
      </c>
      <c r="AM8" s="2250"/>
      <c r="AN8" s="2250" t="str">
        <f>IF(T8="","",T8)</f>
        <v/>
      </c>
      <c r="AO8" s="2250"/>
      <c r="AP8" s="2250"/>
      <c r="AQ8" s="2257">
        <v>0</v>
      </c>
    </row>
    <row customHeight="1" ht="11.25" hidden="1">
      <c r="A9" s="1893"/>
      <c r="B9" s="1893"/>
      <c r="C9" s="1893"/>
      <c r="D9" s="1893"/>
      <c r="E9" s="2916"/>
      <c r="F9" s="2916"/>
      <c r="G9" s="2916"/>
      <c r="H9" s="2916"/>
      <c r="I9" s="2727"/>
      <c r="J9" s="2753"/>
      <c r="K9" s="1893"/>
      <c r="L9" s="1936"/>
      <c r="P9" s="2883"/>
      <c r="Q9" s="2883"/>
      <c r="R9" s="982"/>
      <c r="S9" s="1904"/>
      <c r="T9" s="913" t="s">
        <v>486</v>
      </c>
      <c r="U9" s="1226"/>
      <c r="V9" s="1226"/>
      <c r="W9" s="1226"/>
      <c r="X9" s="1226"/>
      <c r="Y9" s="1226"/>
      <c r="Z9" s="1226"/>
      <c r="AA9" s="1226"/>
      <c r="AB9" s="1226"/>
      <c r="AC9" s="1226"/>
      <c r="AD9" s="1226"/>
      <c r="AE9" s="1226"/>
      <c r="AF9" s="1226"/>
      <c r="AG9" s="1226"/>
      <c r="AH9" s="1226"/>
      <c r="AI9" s="1226"/>
      <c r="AJ9" s="950"/>
      <c r="AK9" s="2881"/>
      <c r="AM9" s="2250"/>
      <c r="AN9" s="2250" t="str">
        <f>IF(T9="","",T9)</f>
        <v>Добавить строку</v>
      </c>
      <c r="AO9" s="2250"/>
      <c r="AP9" s="2250"/>
      <c r="AQ9" s="2257">
        <v>0</v>
      </c>
    </row>
    <row s="34658" customFormat="1" customHeight="1" ht="0.75" hidden="1">
      <c r="A10" s="2001"/>
      <c r="B10" s="2001"/>
      <c r="C10" s="2001"/>
      <c r="D10" s="2001"/>
      <c r="E10" s="2916"/>
      <c r="F10" s="2916"/>
      <c r="G10" s="2916"/>
      <c r="H10" s="2916"/>
      <c r="I10" s="2753"/>
      <c r="J10" s="2001"/>
      <c r="K10" s="2001"/>
      <c r="L10" s="2007"/>
      <c r="M10" s="1872"/>
      <c r="N10" s="1872"/>
      <c r="O10" s="1872"/>
      <c r="P10" s="2883"/>
      <c r="Q10" s="2580"/>
      <c r="R10" s="982"/>
      <c r="S10" s="2012"/>
      <c r="T10" s="2013"/>
      <c r="U10" s="2014"/>
      <c r="V10" s="2014"/>
      <c r="W10" s="2014"/>
      <c r="X10" s="2014"/>
      <c r="Y10" s="2014"/>
      <c r="Z10" s="2014"/>
      <c r="AA10" s="2014"/>
      <c r="AB10" s="2014"/>
      <c r="AC10" s="2014"/>
      <c r="AD10" s="2014"/>
      <c r="AE10" s="2014"/>
      <c r="AF10" s="2014"/>
      <c r="AG10" s="2014"/>
      <c r="AH10" s="2014"/>
      <c r="AI10" s="2014"/>
      <c r="AJ10" s="2014"/>
      <c r="AK10" s="2015"/>
      <c r="AM10" s="2250"/>
      <c r="AN10" s="2250" t="str">
        <f>IF(T10="","",T10)</f>
        <v/>
      </c>
      <c r="AO10" s="2250"/>
      <c r="AP10" s="2250"/>
      <c r="AQ10" s="2262">
        <v>0</v>
      </c>
    </row>
    <row s="34658" customFormat="1" customHeight="1" ht="0.75" hidden="1">
      <c r="A11" s="2001"/>
      <c r="B11" s="2001"/>
      <c r="C11" s="2001"/>
      <c r="D11" s="2001"/>
      <c r="E11" s="2916"/>
      <c r="F11" s="2916"/>
      <c r="G11" s="2916"/>
      <c r="H11" s="2915"/>
      <c r="I11" s="2001"/>
      <c r="J11" s="2001"/>
      <c r="K11" s="2001"/>
      <c r="L11" s="2007"/>
      <c r="M11" s="2004"/>
      <c r="N11" s="2004"/>
      <c r="O11" s="977"/>
      <c r="P11" s="1006"/>
      <c r="Q11" s="1970"/>
      <c r="R11" s="2027"/>
      <c r="S11" s="2012"/>
      <c r="T11" s="2013"/>
      <c r="U11" s="2014"/>
      <c r="V11" s="2014"/>
      <c r="W11" s="2014"/>
      <c r="X11" s="2014"/>
      <c r="Y11" s="2014"/>
      <c r="Z11" s="2014"/>
      <c r="AA11" s="2014"/>
      <c r="AB11" s="2014"/>
      <c r="AC11" s="2014"/>
      <c r="AD11" s="2014"/>
      <c r="AE11" s="2014"/>
      <c r="AF11" s="2014"/>
      <c r="AG11" s="2014"/>
      <c r="AH11" s="2014"/>
      <c r="AI11" s="2014"/>
      <c r="AJ11" s="2014"/>
      <c r="AK11" s="2015"/>
      <c r="AM11" s="2250"/>
      <c r="AN11" s="2250" t="str">
        <f>IF(T11="","",T11)</f>
        <v/>
      </c>
      <c r="AO11" s="2250"/>
      <c r="AP11" s="2250"/>
      <c r="AQ11" s="2262">
        <v>0</v>
      </c>
    </row>
    <row s="34658" customFormat="1" customHeight="1" ht="0.75" hidden="1">
      <c r="A12" s="2001"/>
      <c r="B12" s="2001"/>
      <c r="C12" s="2001"/>
      <c r="D12" s="2000"/>
      <c r="E12" s="2916"/>
      <c r="F12" s="2916"/>
      <c r="G12" s="2915"/>
      <c r="H12" s="2000"/>
      <c r="I12" s="2000"/>
      <c r="J12" s="2000"/>
      <c r="K12" s="2000"/>
      <c r="L12" s="2003"/>
      <c r="M12" s="2004"/>
      <c r="N12" s="2004"/>
      <c r="O12" s="977"/>
      <c r="P12" s="1942"/>
      <c r="Q12" s="1943"/>
      <c r="R12" s="1942"/>
      <c r="S12" s="1948"/>
      <c r="T12" s="1951" t="s">
        <v>432</v>
      </c>
      <c r="U12" s="1950"/>
      <c r="V12" s="1950"/>
      <c r="W12" s="1950"/>
      <c r="X12" s="1950"/>
      <c r="Y12" s="1950"/>
      <c r="Z12" s="1950"/>
      <c r="AA12" s="1950"/>
      <c r="AB12" s="1950"/>
      <c r="AC12" s="1950"/>
      <c r="AD12" s="1950"/>
      <c r="AE12" s="1950"/>
      <c r="AF12" s="1950"/>
      <c r="AG12" s="1950"/>
      <c r="AH12" s="1950"/>
      <c r="AI12" s="1950"/>
      <c r="AJ12" s="1950"/>
      <c r="AK12" s="1950"/>
      <c r="AM12" s="1877"/>
      <c r="AN12" s="1877" t="str">
        <f>IF(T12="","",T12)</f>
        <v>Добавить источник для дифференциации</v>
      </c>
      <c r="AO12" s="1877"/>
      <c r="AP12" s="1877"/>
      <c r="AQ12" s="2268">
        <v>0</v>
      </c>
    </row>
    <row s="34658" customFormat="1" customHeight="1" ht="0.75" hidden="1">
      <c r="A13" s="2001"/>
      <c r="B13" s="2001"/>
      <c r="C13" s="2000"/>
      <c r="D13" s="2000"/>
      <c r="E13" s="2916"/>
      <c r="F13" s="2915"/>
      <c r="G13" s="2000"/>
      <c r="H13" s="2000"/>
      <c r="I13" s="2000"/>
      <c r="J13" s="2000"/>
      <c r="K13" s="2000"/>
      <c r="L13" s="2003"/>
      <c r="M13" s="2005"/>
      <c r="N13" s="2005"/>
      <c r="O13" s="977"/>
      <c r="P13" s="1942"/>
      <c r="Q13" s="1943"/>
      <c r="R13" s="1942"/>
      <c r="S13" s="1948"/>
      <c r="T13" s="1951" t="s">
        <v>433</v>
      </c>
      <c r="U13" s="1950"/>
      <c r="V13" s="1950"/>
      <c r="W13" s="1950"/>
      <c r="X13" s="1950"/>
      <c r="Y13" s="1950"/>
      <c r="Z13" s="1950"/>
      <c r="AA13" s="1950"/>
      <c r="AB13" s="1950"/>
      <c r="AC13" s="1950"/>
      <c r="AD13" s="1950"/>
      <c r="AE13" s="1950"/>
      <c r="AF13" s="1950"/>
      <c r="AG13" s="1950"/>
      <c r="AH13" s="1950"/>
      <c r="AI13" s="1950"/>
      <c r="AJ13" s="1950"/>
      <c r="AK13" s="1950"/>
      <c r="AM13" s="1877"/>
      <c r="AN13" s="1877" t="str">
        <f>IF(T13="","",T13)</f>
        <v>Добавить централизованную систему для дифференциации</v>
      </c>
      <c r="AO13" s="1877"/>
      <c r="AP13" s="1877"/>
      <c r="AQ13" s="2268">
        <v>0</v>
      </c>
    </row>
    <row s="34658" customFormat="1" customHeight="1" ht="0.75" hidden="1">
      <c r="A14" s="2001"/>
      <c r="B14" s="2001"/>
      <c r="C14" s="2001"/>
      <c r="D14" s="2001"/>
      <c r="E14" s="2915"/>
      <c r="F14" s="2001"/>
      <c r="G14" s="2001"/>
      <c r="H14" s="2001"/>
      <c r="I14" s="2001"/>
      <c r="J14" s="2001"/>
      <c r="K14" s="2001"/>
      <c r="L14" s="2007"/>
      <c r="M14" s="2005"/>
      <c r="N14" s="2005"/>
      <c r="O14" s="977"/>
      <c r="P14" s="1006"/>
      <c r="Q14" s="1970"/>
      <c r="R14" s="1006"/>
      <c r="S14" s="1948"/>
      <c r="T14" s="1951" t="s">
        <v>434</v>
      </c>
      <c r="U14" s="1950"/>
      <c r="V14" s="1950"/>
      <c r="W14" s="1950"/>
      <c r="X14" s="1950"/>
      <c r="Y14" s="1950"/>
      <c r="Z14" s="1950"/>
      <c r="AA14" s="1950"/>
      <c r="AB14" s="1950"/>
      <c r="AC14" s="1950"/>
      <c r="AD14" s="1950"/>
      <c r="AE14" s="1950"/>
      <c r="AF14" s="1950"/>
      <c r="AG14" s="1950"/>
      <c r="AH14" s="1950"/>
      <c r="AI14" s="1950"/>
      <c r="AJ14" s="1950"/>
      <c r="AK14" s="1950"/>
      <c r="AM14" s="2250"/>
      <c r="AN14" s="2250" t="str">
        <f>IF(T14="","",T14)</f>
        <v>Добавить территорию для дифференциации</v>
      </c>
      <c r="AO14" s="2250"/>
      <c r="AP14" s="2250"/>
      <c r="AQ14" s="2262">
        <v>0</v>
      </c>
    </row>
    <row customHeight="1" ht="14.25" hidden="1">
      <c r="AQ15" s="2257">
        <v>0</v>
      </c>
    </row>
    <row customHeight="1" ht="14.25" hidden="1">
      <c r="AC16" s="2128"/>
      <c r="AD16" s="2029"/>
      <c r="AE16" s="2030"/>
      <c r="AF16" s="2362"/>
      <c r="AG16" s="2592" t="s">
        <v>66</v>
      </c>
      <c r="AH16" s="2362"/>
      <c r="AI16" s="2592" t="s">
        <v>66</v>
      </c>
      <c r="AQ16" s="2257">
        <v>0</v>
      </c>
    </row>
    <row customHeight="1" ht="14.25" hidden="1">
      <c r="AL17" s="2267"/>
      <c r="AM17" s="2267"/>
      <c r="AN17" s="2267"/>
      <c r="AO17" s="2267"/>
      <c r="AP17" s="2267"/>
      <c r="AQ17" s="2257">
        <v>0</v>
      </c>
    </row>
    <row customHeight="1" ht="14.25" hidden="1">
      <c r="O18" s="1971" t="s">
        <v>435</v>
      </c>
      <c r="X18" s="1971"/>
      <c r="Z18" s="1971"/>
      <c r="AF18" s="1971"/>
      <c r="AH18" s="1971"/>
      <c r="AL18" s="2267"/>
      <c r="AM18" s="2267"/>
      <c r="AN18" s="2267"/>
      <c r="AO18" s="2267"/>
      <c r="AP18" s="2267"/>
      <c r="AQ18" s="2257">
        <v>0</v>
      </c>
    </row>
    <row customHeight="1" ht="14.25" hidden="1">
      <c r="AL19" s="2267"/>
      <c r="AM19" s="2267"/>
      <c r="AN19" s="2267"/>
      <c r="AO19" s="2267"/>
      <c r="AP19" s="2267"/>
      <c r="AQ19" s="2257">
        <v>0</v>
      </c>
    </row>
    <row s="35596" customFormat="1" customHeight="1" ht="14.25" hidden="1">
      <c r="A20" s="2597"/>
      <c r="B20" s="2597"/>
      <c r="C20" s="2597"/>
      <c r="D20" s="2597"/>
      <c r="E20" s="2597"/>
      <c r="F20" s="2597"/>
      <c r="G20" s="2597"/>
      <c r="H20" s="2597"/>
      <c r="I20" s="2597"/>
      <c r="J20" s="2597"/>
      <c r="K20" s="2597"/>
      <c r="L20" s="2597"/>
      <c r="M20" s="2598"/>
      <c r="N20" s="2598"/>
      <c r="O20" s="2599" t="s">
        <v>436</v>
      </c>
      <c r="P20" s="2134"/>
      <c r="Q20" s="2136"/>
      <c r="R20" s="2136"/>
      <c r="Y20" s="2133" t="s">
        <v>438</v>
      </c>
      <c r="AA20" s="2133" t="s">
        <v>439</v>
      </c>
      <c r="AC20" s="2133" t="s">
        <v>488</v>
      </c>
      <c r="AG20" s="2133" t="s">
        <v>438</v>
      </c>
      <c r="AI20" s="2133" t="s">
        <v>439</v>
      </c>
      <c r="AL20" s="2137"/>
      <c r="AM20" s="2137"/>
      <c r="AN20" s="2137"/>
      <c r="AO20" s="2137"/>
      <c r="AP20" s="2137"/>
      <c r="AQ20" s="2133">
        <v>0</v>
      </c>
    </row>
    <row customHeight="1" ht="14.25" hidden="1">
      <c r="O21" s="1936"/>
      <c r="AL21" s="2267"/>
      <c r="AM21" s="2267"/>
      <c r="AN21" s="2267"/>
      <c r="AO21" s="2267"/>
      <c r="AP21" s="2267"/>
      <c r="AQ21" s="2257">
        <v>0</v>
      </c>
    </row>
    <row customHeight="1" ht="14.25" hidden="1">
      <c r="O22" s="1936"/>
      <c r="AL22" s="2267"/>
      <c r="AM22" s="2267"/>
      <c r="AN22" s="2267"/>
      <c r="AO22" s="2267"/>
      <c r="AP22" s="2267"/>
      <c r="AQ22" s="2257">
        <v>0</v>
      </c>
    </row>
    <row customHeight="1" ht="14.699999999999998">
      <c r="Q23" s="917"/>
      <c r="R23" s="1002"/>
      <c r="S23" s="1901"/>
      <c r="T23" s="1083"/>
      <c r="U23" s="1083"/>
      <c r="V23" s="2261"/>
      <c r="W23" s="2261"/>
      <c r="X23" s="2261"/>
      <c r="Y23" s="2261"/>
      <c r="Z23" s="2261"/>
      <c r="AA23" s="2261"/>
      <c r="AB23" s="2261"/>
      <c r="AC23" s="2261"/>
      <c r="AD23" s="2261"/>
      <c r="AE23" s="2261"/>
      <c r="AF23" s="2261"/>
      <c r="AG23" s="2261"/>
      <c r="AH23" s="2261"/>
      <c r="AI23" s="2261"/>
      <c r="AQ23" s="2257">
        <v>14</v>
      </c>
    </row>
    <row customHeight="1" ht="39.75">
      <c r="Q24" s="917"/>
      <c r="R24" s="1002"/>
      <c r="S24" s="28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74"/>
      <c r="U24" s="2874"/>
      <c r="V24" s="2874"/>
      <c r="W24" s="2874"/>
      <c r="X24" s="2874"/>
      <c r="Y24" s="2874"/>
      <c r="Z24" s="2874"/>
      <c r="AA24" s="2874"/>
      <c r="AB24" s="2874"/>
      <c r="AC24" s="2874"/>
      <c r="AD24" s="2874"/>
      <c r="AE24" s="2874"/>
      <c r="AF24" s="2874"/>
      <c r="AG24" s="2874"/>
      <c r="AH24" s="2874"/>
      <c r="AI24" s="1869"/>
      <c r="AQ24" s="2257">
        <v>38</v>
      </c>
    </row>
    <row customHeight="1" ht="14.699999999999998">
      <c r="Q25" s="917"/>
      <c r="R25" s="1002"/>
      <c r="S25" s="2875" t="str">
        <f>IF(org=0,"Не определено",org)</f>
        <v>АО "ДГК"</v>
      </c>
      <c r="T25" s="2875"/>
      <c r="U25" s="2875"/>
      <c r="V25" s="2875"/>
      <c r="W25" s="2875"/>
      <c r="X25" s="2875"/>
      <c r="Y25" s="2875"/>
      <c r="Z25" s="2875"/>
      <c r="AA25" s="2875"/>
      <c r="AB25" s="2875"/>
      <c r="AC25" s="2875"/>
      <c r="AD25" s="2875"/>
      <c r="AE25" s="2875"/>
      <c r="AF25" s="2875"/>
      <c r="AG25" s="2875"/>
      <c r="AH25" s="2875"/>
      <c r="AI25" s="1869"/>
      <c r="AQ25" s="2257">
        <v>14</v>
      </c>
    </row>
    <row customHeight="1" ht="14.25" hidden="1">
      <c r="Q26" s="917"/>
      <c r="R26" s="1002"/>
      <c r="S26" s="1901"/>
      <c r="T26" s="1083"/>
      <c r="U26" s="1083"/>
      <c r="V26" s="948"/>
      <c r="W26" s="948"/>
      <c r="X26" s="948"/>
      <c r="Y26" s="948"/>
      <c r="Z26" s="948"/>
      <c r="AA26" s="948"/>
      <c r="AB26" s="948"/>
      <c r="AC26" s="948"/>
      <c r="AD26" s="948"/>
      <c r="AE26" s="948"/>
      <c r="AF26" s="948"/>
      <c r="AG26" s="948"/>
      <c r="AH26" s="948"/>
      <c r="AI26" s="948"/>
      <c r="AJ26" s="2261"/>
      <c r="AQ26" s="2257">
        <v>0</v>
      </c>
    </row>
    <row s="34794" customFormat="1" customHeight="1" ht="25.5" hidden="1">
      <c r="A27" s="1874"/>
      <c r="B27" s="1874"/>
      <c r="C27" s="1874"/>
      <c r="D27" s="1874"/>
      <c r="E27" s="1874"/>
      <c r="F27" s="1874"/>
      <c r="G27" s="1874"/>
      <c r="H27" s="1874"/>
      <c r="I27" s="1874"/>
      <c r="J27" s="1874"/>
      <c r="K27" s="1874"/>
      <c r="L27" s="2006"/>
      <c r="M27" s="1874"/>
      <c r="N27" s="1874"/>
      <c r="O27" s="1874"/>
      <c r="P27" s="1994"/>
      <c r="Q27" s="1994"/>
      <c r="S27" s="2876" t="s">
        <v>42</v>
      </c>
      <c r="T27" s="2876"/>
      <c r="U27" s="1998"/>
      <c r="V27" s="2877" t="str">
        <f>IF(TITLE_NAME_OR_PR_CHANGE="",IF(TITLE_NAME_OR_PR="","",TITLE_NAME_OR_PR),TITLE_NAME_OR_PR_CHANGE)</f>
        <v/>
      </c>
      <c r="W27" s="2877"/>
      <c r="X27" s="2877"/>
      <c r="Y27" s="2877"/>
      <c r="Z27" s="2877"/>
      <c r="AA27" s="2261"/>
      <c r="AB27" s="2261"/>
      <c r="AC27" s="2877"/>
      <c r="AD27" s="2877"/>
      <c r="AE27" s="2877"/>
      <c r="AF27" s="2877"/>
      <c r="AG27" s="2877"/>
      <c r="AH27" s="2877"/>
      <c r="AI27" s="2261"/>
      <c r="AJ27" s="2261"/>
      <c r="AK27" s="906"/>
      <c r="AL27" s="994"/>
      <c r="AM27" s="994"/>
      <c r="AN27" s="994"/>
      <c r="AO27" s="994"/>
      <c r="AP27" s="994"/>
      <c r="AQ27" s="1044">
        <v>0</v>
      </c>
    </row>
    <row s="34794" customFormat="1" customHeight="1" ht="18.75" hidden="1">
      <c r="A28" s="1874"/>
      <c r="B28" s="1874"/>
      <c r="C28" s="1874"/>
      <c r="D28" s="1874"/>
      <c r="E28" s="1874"/>
      <c r="F28" s="1874"/>
      <c r="G28" s="1874"/>
      <c r="H28" s="1874"/>
      <c r="I28" s="1874"/>
      <c r="J28" s="1874"/>
      <c r="K28" s="1874"/>
      <c r="L28" s="2006"/>
      <c r="M28" s="1874"/>
      <c r="N28" s="1874"/>
      <c r="O28" s="1874"/>
      <c r="P28" s="1994"/>
      <c r="Q28" s="1994"/>
      <c r="S28" s="2876" t="s">
        <v>441</v>
      </c>
      <c r="T28" s="2876"/>
      <c r="U28" s="1998"/>
      <c r="V28" s="2890" t="str">
        <f>IF(TITLE_DATE_PR_CHANGE="",IF(TITLE_DATE_PR="","",TITLE_DATE_PR),TITLE_DATE_PR_CHANGE)</f>
        <v/>
      </c>
      <c r="W28" s="2890"/>
      <c r="X28" s="2890"/>
      <c r="Y28" s="2890"/>
      <c r="Z28" s="2890"/>
      <c r="AA28" s="2261"/>
      <c r="AB28" s="2261"/>
      <c r="AC28" s="2890"/>
      <c r="AD28" s="2890"/>
      <c r="AE28" s="2890"/>
      <c r="AF28" s="2890"/>
      <c r="AG28" s="2890"/>
      <c r="AH28" s="2890"/>
      <c r="AI28" s="2261"/>
      <c r="AJ28" s="2261"/>
      <c r="AK28" s="906"/>
      <c r="AL28" s="994"/>
      <c r="AM28" s="994"/>
      <c r="AN28" s="994"/>
      <c r="AO28" s="994"/>
      <c r="AP28" s="994"/>
      <c r="AQ28" s="1044">
        <v>0</v>
      </c>
    </row>
    <row s="34794" customFormat="1" customHeight="1" ht="18.75" hidden="1">
      <c r="A29" s="1874"/>
      <c r="B29" s="1874"/>
      <c r="C29" s="1874"/>
      <c r="D29" s="1874"/>
      <c r="E29" s="1874"/>
      <c r="F29" s="1874"/>
      <c r="G29" s="1874"/>
      <c r="H29" s="1874"/>
      <c r="I29" s="1874"/>
      <c r="J29" s="1874"/>
      <c r="K29" s="1874"/>
      <c r="L29" s="2006"/>
      <c r="M29" s="1874"/>
      <c r="N29" s="1874"/>
      <c r="O29" s="1874"/>
      <c r="P29" s="1994"/>
      <c r="Q29" s="1994"/>
      <c r="S29" s="2876" t="s">
        <v>442</v>
      </c>
      <c r="T29" s="2876"/>
      <c r="U29" s="1998"/>
      <c r="V29" s="2877" t="str">
        <f>IF(TITLE_NUMBER_PR_CHANGE="",IF(TITLE_NUMBER_PR="","",TITLE_NUMBER_PR),TITLE_NUMBER_PR_CHANGE)</f>
        <v/>
      </c>
      <c r="W29" s="2877"/>
      <c r="X29" s="2877"/>
      <c r="Y29" s="2877"/>
      <c r="Z29" s="2877"/>
      <c r="AA29" s="2261"/>
      <c r="AB29" s="2261"/>
      <c r="AC29" s="2877"/>
      <c r="AD29" s="2877"/>
      <c r="AE29" s="2877"/>
      <c r="AF29" s="2877"/>
      <c r="AG29" s="2877"/>
      <c r="AH29" s="2877"/>
      <c r="AI29" s="2261"/>
      <c r="AJ29" s="2261"/>
      <c r="AK29" s="906"/>
      <c r="AL29" s="994"/>
      <c r="AM29" s="994"/>
      <c r="AN29" s="994"/>
      <c r="AO29" s="994"/>
      <c r="AP29" s="994"/>
      <c r="AQ29" s="1044">
        <v>0</v>
      </c>
    </row>
    <row s="34794" customFormat="1" customHeight="1" ht="18.75" hidden="1">
      <c r="A30" s="1874"/>
      <c r="B30" s="1874"/>
      <c r="C30" s="1874"/>
      <c r="D30" s="1874"/>
      <c r="E30" s="1874"/>
      <c r="F30" s="1874"/>
      <c r="G30" s="1874"/>
      <c r="H30" s="1874"/>
      <c r="I30" s="1874"/>
      <c r="J30" s="1874"/>
      <c r="K30" s="1874"/>
      <c r="L30" s="2006"/>
      <c r="M30" s="1874"/>
      <c r="N30" s="1874"/>
      <c r="O30" s="1874"/>
      <c r="P30" s="1994"/>
      <c r="Q30" s="1994"/>
      <c r="S30" s="2876" t="s">
        <v>43</v>
      </c>
      <c r="T30" s="2876"/>
      <c r="U30" s="1998"/>
      <c r="V30" s="2877" t="str">
        <f>IF(TITLE_IST_PUB_CHANGE="",IF(TITLE_IST_PUB="","",TITLE_IST_PUB),TITLE_IST_PUB_CHANGE)</f>
        <v/>
      </c>
      <c r="W30" s="2877"/>
      <c r="X30" s="2877"/>
      <c r="Y30" s="2877"/>
      <c r="Z30" s="2877"/>
      <c r="AA30" s="2261"/>
      <c r="AB30" s="2261"/>
      <c r="AC30" s="2877"/>
      <c r="AD30" s="2877"/>
      <c r="AE30" s="2877"/>
      <c r="AF30" s="2877"/>
      <c r="AG30" s="2877"/>
      <c r="AH30" s="2877"/>
      <c r="AI30" s="2261"/>
      <c r="AJ30" s="2261"/>
      <c r="AK30" s="906"/>
      <c r="AL30" s="994"/>
      <c r="AM30" s="994"/>
      <c r="AN30" s="994"/>
      <c r="AO30" s="994"/>
      <c r="AP30" s="994"/>
      <c r="AQ30" s="1044">
        <v>0</v>
      </c>
    </row>
    <row customHeight="1" ht="14.25" hidden="1">
      <c r="Q31" s="917"/>
      <c r="R31" s="1002"/>
      <c r="S31" s="1901"/>
      <c r="T31" s="1083"/>
      <c r="U31" s="1083"/>
      <c r="V31" s="948"/>
      <c r="W31" s="948"/>
      <c r="X31" s="948"/>
      <c r="Y31" s="948"/>
      <c r="Z31" s="948"/>
      <c r="AA31" s="948"/>
      <c r="AB31" s="948"/>
      <c r="AC31" s="948"/>
      <c r="AD31" s="948"/>
      <c r="AE31" s="948"/>
      <c r="AF31" s="948"/>
      <c r="AG31" s="948"/>
      <c r="AH31" s="948"/>
      <c r="AI31" s="948"/>
      <c r="AJ31" s="2261"/>
      <c r="AQ31" s="2257">
        <v>0</v>
      </c>
    </row>
    <row s="34794" customFormat="1" customHeight="1" ht="18.75" hidden="1">
      <c r="A32" s="1874"/>
      <c r="B32" s="1874"/>
      <c r="C32" s="1874"/>
      <c r="D32" s="1874"/>
      <c r="E32" s="1874"/>
      <c r="F32" s="1874"/>
      <c r="G32" s="1874"/>
      <c r="H32" s="1874"/>
      <c r="I32" s="1874"/>
      <c r="J32" s="1874"/>
      <c r="K32" s="1874"/>
      <c r="L32" s="2006"/>
      <c r="M32" s="1874"/>
      <c r="N32" s="1874"/>
      <c r="O32" s="1874"/>
      <c r="P32" s="1994"/>
      <c r="Q32" s="1994"/>
      <c r="S32" s="2876" t="s">
        <v>441</v>
      </c>
      <c r="T32" s="2876"/>
      <c r="U32" s="1998"/>
      <c r="V32" s="2890" t="str">
        <f>IF(TITLE_DATE_PR_CHANGE="",IF(TITLE_DATE_PR="","",TITLE_DATE_PR),TITLE_DATE_PR_CHANGE)</f>
        <v/>
      </c>
      <c r="W32" s="2890"/>
      <c r="X32" s="2890"/>
      <c r="Y32" s="2890"/>
      <c r="Z32" s="2890"/>
      <c r="AA32" s="2261"/>
      <c r="AB32" s="2261"/>
      <c r="AC32" s="2890"/>
      <c r="AD32" s="2890"/>
      <c r="AE32" s="2890"/>
      <c r="AF32" s="2890"/>
      <c r="AG32" s="2890"/>
      <c r="AH32" s="2890"/>
      <c r="AI32" s="2261"/>
      <c r="AJ32" s="2261"/>
      <c r="AK32" s="906"/>
      <c r="AL32" s="994"/>
      <c r="AM32" s="994"/>
      <c r="AN32" s="994"/>
      <c r="AO32" s="994"/>
      <c r="AP32" s="994"/>
      <c r="AQ32" s="1044">
        <v>0</v>
      </c>
    </row>
    <row s="34794" customFormat="1" customHeight="1" ht="18" hidden="1">
      <c r="A33" s="1874"/>
      <c r="B33" s="1874"/>
      <c r="C33" s="1874"/>
      <c r="D33" s="1874"/>
      <c r="E33" s="1874"/>
      <c r="F33" s="1874"/>
      <c r="G33" s="1874"/>
      <c r="H33" s="1874"/>
      <c r="I33" s="1874"/>
      <c r="J33" s="1874"/>
      <c r="K33" s="1874"/>
      <c r="L33" s="2006"/>
      <c r="M33" s="1874"/>
      <c r="N33" s="1874"/>
      <c r="O33" s="1874"/>
      <c r="P33" s="1994"/>
      <c r="Q33" s="1994"/>
      <c r="S33" s="2876" t="s">
        <v>442</v>
      </c>
      <c r="T33" s="2876"/>
      <c r="U33" s="1998"/>
      <c r="V33" s="2877" t="str">
        <f>IF(TITLE_NUMBER_PR_CHANGE="",IF(TITLE_NUMBER_PR="","",TITLE_NUMBER_PR),TITLE_NUMBER_PR_CHANGE)</f>
        <v/>
      </c>
      <c r="W33" s="2877"/>
      <c r="X33" s="2877"/>
      <c r="Y33" s="2877"/>
      <c r="Z33" s="2877"/>
      <c r="AA33" s="2261"/>
      <c r="AB33" s="2261"/>
      <c r="AC33" s="2877"/>
      <c r="AD33" s="2877"/>
      <c r="AE33" s="2877"/>
      <c r="AF33" s="2877"/>
      <c r="AG33" s="2877"/>
      <c r="AH33" s="2877"/>
      <c r="AI33" s="2261"/>
      <c r="AJ33" s="2261"/>
      <c r="AK33" s="906"/>
      <c r="AL33" s="994"/>
      <c r="AM33" s="994"/>
      <c r="AN33" s="994"/>
      <c r="AO33" s="994"/>
      <c r="AP33" s="994"/>
      <c r="AQ33" s="1044">
        <v>0</v>
      </c>
    </row>
    <row s="34794" customFormat="1" customHeight="1" ht="1.05">
      <c r="A34" s="1874"/>
      <c r="B34" s="1874"/>
      <c r="C34" s="1874"/>
      <c r="D34" s="1874"/>
      <c r="E34" s="1874"/>
      <c r="F34" s="1874"/>
      <c r="G34" s="1874"/>
      <c r="H34" s="1874"/>
      <c r="I34" s="1874"/>
      <c r="J34" s="1874"/>
      <c r="K34" s="1874"/>
      <c r="L34" s="2006"/>
      <c r="M34" s="1874"/>
      <c r="N34" s="1874"/>
      <c r="O34" s="1874"/>
      <c r="P34" s="1994"/>
      <c r="Q34" s="1994"/>
      <c r="S34" s="2261"/>
      <c r="T34" s="2261"/>
      <c r="U34" s="2596"/>
      <c r="V34" s="2261"/>
      <c r="W34" s="2261"/>
      <c r="X34" s="2261"/>
      <c r="Y34" s="2261"/>
      <c r="Z34" s="2261"/>
      <c r="AA34" s="2268" t="s">
        <v>445</v>
      </c>
      <c r="AB34" s="2268"/>
      <c r="AC34" s="2261"/>
      <c r="AD34" s="2261"/>
      <c r="AE34" s="2261"/>
      <c r="AF34" s="2261"/>
      <c r="AG34" s="2261"/>
      <c r="AH34" s="2261"/>
      <c r="AI34" s="2268" t="s">
        <v>445</v>
      </c>
      <c r="AL34" s="994"/>
      <c r="AM34" s="994"/>
      <c r="AN34" s="994"/>
      <c r="AO34" s="994"/>
      <c r="AP34" s="994"/>
      <c r="AQ34" s="1044">
        <v>1</v>
      </c>
    </row>
    <row customHeight="1" ht="14.699999999999998">
      <c r="Q35" s="917"/>
      <c r="R35" s="1002"/>
      <c r="S35" s="1901"/>
      <c r="T35" s="1083"/>
      <c r="U35" s="1870"/>
      <c r="V35" s="2878"/>
      <c r="W35" s="2878"/>
      <c r="X35" s="2878"/>
      <c r="Y35" s="2878"/>
      <c r="Z35" s="2878"/>
      <c r="AA35" s="2878"/>
      <c r="AB35" s="2583"/>
      <c r="AC35" s="2878"/>
      <c r="AD35" s="2878"/>
      <c r="AE35" s="2878"/>
      <c r="AF35" s="2878"/>
      <c r="AG35" s="2878"/>
      <c r="AH35" s="2878"/>
      <c r="AI35" s="2878"/>
      <c r="AQ35" s="2257">
        <v>14</v>
      </c>
    </row>
    <row customHeight="1" ht="14.699999999999998">
      <c r="Q36" s="917"/>
      <c r="R36" s="1002"/>
      <c r="S36" s="2753" t="s">
        <v>318</v>
      </c>
      <c r="T36" s="2753"/>
      <c r="U36" s="2753"/>
      <c r="V36" s="2753"/>
      <c r="W36" s="2753"/>
      <c r="X36" s="2753"/>
      <c r="Y36" s="2753"/>
      <c r="Z36" s="2753"/>
      <c r="AA36" s="2801"/>
      <c r="AB36" s="2801"/>
      <c r="AC36" s="2801"/>
      <c r="AD36" s="2753"/>
      <c r="AE36" s="2753"/>
      <c r="AF36" s="2753"/>
      <c r="AG36" s="2753"/>
      <c r="AH36" s="2753"/>
      <c r="AI36" s="2753"/>
      <c r="AJ36" s="2753"/>
      <c r="AK36" s="2753" t="s">
        <v>319</v>
      </c>
      <c r="AQ36" s="2257">
        <v>14</v>
      </c>
    </row>
    <row customHeight="1" ht="14.699999999999998">
      <c r="Q37" s="917"/>
      <c r="R37" s="1002"/>
      <c r="S37" s="2899" t="s">
        <v>88</v>
      </c>
      <c r="T37" s="2835" t="s">
        <v>517</v>
      </c>
      <c r="U37" s="963"/>
      <c r="V37" s="2901"/>
      <c r="W37" s="2901"/>
      <c r="X37" s="2901"/>
      <c r="Y37" s="2901"/>
      <c r="Z37" s="2901"/>
      <c r="AA37" s="2835" t="s">
        <v>448</v>
      </c>
      <c r="AB37" s="2834" t="s">
        <v>518</v>
      </c>
      <c r="AC37" s="2834" t="s">
        <v>492</v>
      </c>
      <c r="AD37" s="2917" t="s">
        <v>447</v>
      </c>
      <c r="AE37" s="2917"/>
      <c r="AF37" s="2901"/>
      <c r="AG37" s="2901"/>
      <c r="AH37" s="2902"/>
      <c r="AI37" s="2903" t="s">
        <v>448</v>
      </c>
      <c r="AJ37" s="2906" t="s">
        <v>450</v>
      </c>
      <c r="AK37" s="2753"/>
      <c r="AQ37" s="2257">
        <v>14</v>
      </c>
    </row>
    <row customHeight="1" ht="35.699999999999996">
      <c r="Q38" s="917"/>
      <c r="R38" s="1002"/>
      <c r="S38" s="2899"/>
      <c r="T38" s="2835"/>
      <c r="U38" s="1657"/>
      <c r="V38" s="2729" t="s">
        <v>495</v>
      </c>
      <c r="W38" s="2753"/>
      <c r="X38" s="2920" t="s">
        <v>454</v>
      </c>
      <c r="Y38" s="2939"/>
      <c r="Z38" s="2939"/>
      <c r="AA38" s="2835"/>
      <c r="AB38" s="2834"/>
      <c r="AC38" s="2834"/>
      <c r="AD38" s="2729" t="s">
        <v>495</v>
      </c>
      <c r="AE38" s="2753"/>
      <c r="AF38" s="2939" t="s">
        <v>454</v>
      </c>
      <c r="AG38" s="2939"/>
      <c r="AH38" s="2940"/>
      <c r="AI38" s="2904"/>
      <c r="AJ38" s="2907"/>
      <c r="AK38" s="2753"/>
      <c r="AQ38" s="2257">
        <v>34</v>
      </c>
    </row>
    <row customHeight="1" ht="14.699999999999998">
      <c r="Q39" s="917"/>
      <c r="R39" s="1002"/>
      <c r="S39" s="2899"/>
      <c r="T39" s="2835"/>
      <c r="U39" s="1657"/>
      <c r="V39" s="2966" t="str">
        <f>IF($AD$39&lt;&gt;"",$AD$39,"")</f>
        <v/>
      </c>
      <c r="W39" s="2966"/>
      <c r="X39" s="2921"/>
      <c r="Y39" s="2941"/>
      <c r="Z39" s="2941"/>
      <c r="AA39" s="2835"/>
      <c r="AB39" s="2834"/>
      <c r="AC39" s="2834"/>
      <c r="AD39" s="2982"/>
      <c r="AE39" s="2965"/>
      <c r="AF39" s="2941"/>
      <c r="AG39" s="2941"/>
      <c r="AH39" s="2942"/>
      <c r="AI39" s="2904"/>
      <c r="AJ39" s="2907"/>
      <c r="AK39" s="2753"/>
      <c r="AQ39" s="2257">
        <v>14</v>
      </c>
    </row>
    <row customHeight="1" ht="14.699999999999998">
      <c r="A40" s="1892"/>
      <c r="B40" s="1892" t="s">
        <v>155</v>
      </c>
      <c r="C40" s="1892" t="s">
        <v>156</v>
      </c>
      <c r="D40" s="1892" t="s">
        <v>157</v>
      </c>
      <c r="E40" s="1936" t="s">
        <v>455</v>
      </c>
      <c r="F40" s="1936" t="s">
        <v>456</v>
      </c>
      <c r="G40" s="1936" t="s">
        <v>457</v>
      </c>
      <c r="H40" s="1936" t="s">
        <v>458</v>
      </c>
      <c r="I40" s="1936" t="s">
        <v>459</v>
      </c>
      <c r="J40" s="1936" t="s">
        <v>460</v>
      </c>
      <c r="K40" s="1936" t="s">
        <v>461</v>
      </c>
      <c r="L40" s="1936" t="s">
        <v>436</v>
      </c>
      <c r="Q40" s="917"/>
      <c r="R40" s="1002"/>
      <c r="S40" s="2899"/>
      <c r="T40" s="2835"/>
      <c r="U40" s="928"/>
      <c r="V40" s="2576" t="s">
        <v>496</v>
      </c>
      <c r="W40" s="2576" t="s">
        <v>497</v>
      </c>
      <c r="X40" s="2564" t="s">
        <v>464</v>
      </c>
      <c r="Y40" s="2896" t="s">
        <v>465</v>
      </c>
      <c r="Z40" s="2946"/>
      <c r="AA40" s="2835"/>
      <c r="AB40" s="2834"/>
      <c r="AC40" s="2834"/>
      <c r="AD40" s="2594" t="s">
        <v>496</v>
      </c>
      <c r="AE40" s="2585" t="s">
        <v>497</v>
      </c>
      <c r="AF40" s="2564" t="s">
        <v>464</v>
      </c>
      <c r="AG40" s="2896" t="s">
        <v>465</v>
      </c>
      <c r="AH40" s="2897"/>
      <c r="AI40" s="2905"/>
      <c r="AJ40" s="2908"/>
      <c r="AK40" s="2753"/>
      <c r="AQ40" s="2257">
        <v>14</v>
      </c>
    </row>
    <row s="35197" customFormat="1" customHeight="1" ht="11.25" hidden="1">
      <c r="A41" s="1892"/>
      <c r="B41" s="1892"/>
      <c r="C41" s="1892"/>
      <c r="D41" s="1892"/>
      <c r="E41" s="1892"/>
      <c r="F41" s="1892"/>
      <c r="G41" s="1892"/>
      <c r="H41" s="1892"/>
      <c r="I41" s="1892"/>
      <c r="J41" s="1892"/>
      <c r="K41" s="1892"/>
      <c r="L41" s="1936"/>
      <c r="M41" s="2591"/>
      <c r="N41" s="2591"/>
      <c r="O41" s="2591"/>
      <c r="P41" s="1136"/>
      <c r="Q41" s="1880"/>
      <c r="R41" s="1880">
        <v>1</v>
      </c>
      <c r="S41" s="1903" t="s">
        <v>118</v>
      </c>
      <c r="T41" s="1881" t="s">
        <v>102</v>
      </c>
      <c r="U41" s="1871" t="str">
        <f>OFFSET(U41,0,-1)</f>
        <v>2</v>
      </c>
      <c r="V41" s="2582">
        <f>OFFSET(V41,0,-1)+1</f>
        <v>3</v>
      </c>
      <c r="W41" s="2582">
        <f>OFFSET(W41,0,-1)+1</f>
        <v>4</v>
      </c>
      <c r="X41" s="2582">
        <f>OFFSET(X41,0,-1)+1</f>
        <v>5</v>
      </c>
      <c r="Y41" s="2898">
        <f>OFFSET(Y41,0,-1)+1</f>
        <v>6</v>
      </c>
      <c r="Z41" s="2898"/>
      <c r="AA41" s="1967">
        <f>OFFSET(AA41,0,-2)+1</f>
        <v>7</v>
      </c>
      <c r="AB41" s="1967"/>
      <c r="AC41" s="1967"/>
      <c r="AD41" s="2582">
        <f>OFFSET(AD41,0,-1)+1</f>
        <v>1</v>
      </c>
      <c r="AE41" s="2582">
        <f>OFFSET(AE41,0,-1)+1</f>
        <v>2</v>
      </c>
      <c r="AF41" s="2582">
        <f>OFFSET(AF41,0,-1)+1</f>
        <v>3</v>
      </c>
      <c r="AG41" s="2898">
        <f>OFFSET(AG41,0,-1)+1</f>
        <v>4</v>
      </c>
      <c r="AH41" s="2898"/>
      <c r="AI41" s="2582">
        <f>OFFSET(AI41,0,-2)+1</f>
        <v>5</v>
      </c>
      <c r="AJ41" s="1871">
        <f>OFFSET(AJ41,0,-1)</f>
        <v>5</v>
      </c>
      <c r="AK41" s="2582">
        <f>OFFSET(AK41,0,-1)+1</f>
        <v>6</v>
      </c>
      <c r="AL41" s="2262"/>
      <c r="AM41" s="2262"/>
      <c r="AN41" s="2262"/>
      <c r="AO41" s="2262"/>
      <c r="AP41" s="2262"/>
      <c r="AQ41" s="2267">
        <v>0</v>
      </c>
    </row>
    <row customHeight="1" ht="107.25">
      <c r="A42" s="1893" t="s">
        <v>224</v>
      </c>
      <c r="B42" s="1893"/>
      <c r="C42" s="1893"/>
      <c r="D42" s="1893"/>
      <c r="E42" s="2915">
        <v>1</v>
      </c>
      <c r="F42" s="1893"/>
      <c r="G42" s="1893"/>
      <c r="H42" s="1893"/>
      <c r="I42" s="1893"/>
      <c r="J42" s="1893"/>
      <c r="K42" s="1893"/>
      <c r="L42" s="1936"/>
      <c r="M42" s="2236"/>
      <c r="N42" s="2236"/>
      <c r="O42" s="2236"/>
      <c r="P42" s="2035"/>
      <c r="Q42" s="1499"/>
      <c r="R42" s="981"/>
      <c r="S42" s="2584">
        <f>INDEX(PT_DIFFERENTIATION_NUM_NTAR,MATCH(A42,PT_DIFFERENTIATION_NTAR_ID,0))</f>
        <v>0</v>
      </c>
      <c r="T42" s="2151" t="s">
        <v>143</v>
      </c>
      <c r="U42" s="926"/>
      <c r="V42" s="2869"/>
      <c r="W42" s="2869"/>
      <c r="X42" s="2869"/>
      <c r="Y42" s="2869"/>
      <c r="Z42" s="2869"/>
      <c r="AA42" s="2870"/>
      <c r="AB42" s="2578"/>
      <c r="AC42" s="2869" t="str">
        <f>INDEX(PT_DIFFERENTIATION_NTAR,MATCH(A42,PT_DIFFERENTIATION_NTAR_ID,0))</f>
        <v/>
      </c>
      <c r="AD42" s="2869"/>
      <c r="AE42" s="2869"/>
      <c r="AF42" s="2869"/>
      <c r="AG42" s="2869"/>
      <c r="AH42" s="2869"/>
      <c r="AI42" s="2869"/>
      <c r="AJ42" s="2870"/>
      <c r="AK42" s="18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250"/>
      <c r="AN42" s="2250" t="str">
        <f>IF(T42="","",T42)</f>
        <v>Наименование тарифа</v>
      </c>
      <c r="AO42" s="2250"/>
      <c r="AP42" s="2250"/>
      <c r="AQ42" s="2257">
        <v>102</v>
      </c>
    </row>
    <row customHeight="1" ht="22.049999999999997">
      <c r="A43" s="1893" t="s">
        <v>224</v>
      </c>
      <c r="B43" s="1893" t="s">
        <v>225</v>
      </c>
      <c r="C43" s="1893"/>
      <c r="D43" s="1893"/>
      <c r="E43" s="2916"/>
      <c r="F43" s="2915">
        <v>1</v>
      </c>
      <c r="G43" s="1893"/>
      <c r="H43" s="1893"/>
      <c r="I43" s="1893"/>
      <c r="J43" s="1893"/>
      <c r="K43" s="1893"/>
      <c r="L43" s="1936"/>
      <c r="M43" s="2236"/>
      <c r="N43" s="2236"/>
      <c r="O43" s="2236"/>
      <c r="P43" s="2595"/>
      <c r="Q43" s="2037"/>
      <c r="R43" s="979"/>
      <c r="S43" s="2584" t="str">
        <f>INDEX(PT_DIFFERENTIATION_NUM_TER,MATCH(B43,PT_DIFFERENTIATION_TER_ID,0))</f>
        <v>.</v>
      </c>
      <c r="T43" s="2148" t="s">
        <v>415</v>
      </c>
      <c r="U43" s="926"/>
      <c r="V43" s="2869"/>
      <c r="W43" s="2869"/>
      <c r="X43" s="2869"/>
      <c r="Y43" s="2869"/>
      <c r="Z43" s="2869"/>
      <c r="AA43" s="2870"/>
      <c r="AB43" s="2578"/>
      <c r="AC43" s="2869" t="str">
        <f>INDEX(PT_DIFFERENTIATION_TER,MATCH(B43,PT_DIFFERENTIATION_TER_ID,0))</f>
        <v/>
      </c>
      <c r="AD43" s="2869"/>
      <c r="AE43" s="2869"/>
      <c r="AF43" s="2869"/>
      <c r="AG43" s="2869"/>
      <c r="AH43" s="2869"/>
      <c r="AI43" s="2869"/>
      <c r="AJ43" s="2870"/>
      <c r="AK43" s="1884" t="s">
        <v>416</v>
      </c>
      <c r="AM43" s="2250"/>
      <c r="AN43" s="2250" t="str">
        <f>IF(T43="","",T43)</f>
        <v>Территория действия тарифа</v>
      </c>
      <c r="AO43" s="2250"/>
      <c r="AP43" s="2250"/>
      <c r="AQ43" s="2257">
        <v>21</v>
      </c>
    </row>
    <row customHeight="1" ht="24">
      <c r="A44" s="1893" t="s">
        <v>224</v>
      </c>
      <c r="B44" s="1893" t="s">
        <v>225</v>
      </c>
      <c r="C44" s="1893" t="s">
        <v>226</v>
      </c>
      <c r="D44" s="1893"/>
      <c r="E44" s="2916"/>
      <c r="F44" s="2916"/>
      <c r="G44" s="2915">
        <v>1</v>
      </c>
      <c r="H44" s="1893"/>
      <c r="I44" s="1893"/>
      <c r="J44" s="1893"/>
      <c r="K44" s="1893"/>
      <c r="L44" s="1936"/>
      <c r="M44" s="2236"/>
      <c r="N44" s="2236"/>
      <c r="O44" s="2236"/>
      <c r="P44" s="2038"/>
      <c r="Q44" s="2037"/>
      <c r="R44" s="979"/>
      <c r="S44" s="2584" t="str">
        <f>INDEX(PT_DIFFERENTIATION_NUM_CS,MATCH(C44,PT_DIFFERENTIATION_CS_ID,0))</f>
        <v>..</v>
      </c>
      <c r="T44" s="935" t="s">
        <v>417</v>
      </c>
      <c r="U44" s="926"/>
      <c r="V44" s="2869"/>
      <c r="W44" s="2869"/>
      <c r="X44" s="2869"/>
      <c r="Y44" s="2869"/>
      <c r="Z44" s="2869"/>
      <c r="AA44" s="2870"/>
      <c r="AB44" s="2578"/>
      <c r="AC44" s="2869" t="str">
        <f>INDEX(PT_DIFFERENTIATION_CS,MATCH(C44,PT_DIFFERENTIATION_CS_ID,0))</f>
        <v/>
      </c>
      <c r="AD44" s="2869"/>
      <c r="AE44" s="2869"/>
      <c r="AF44" s="2869"/>
      <c r="AG44" s="2869"/>
      <c r="AH44" s="2869"/>
      <c r="AI44" s="2869"/>
      <c r="AJ44" s="2870"/>
      <c r="AK44" s="1884" t="s">
        <v>418</v>
      </c>
      <c r="AM44" s="2250"/>
      <c r="AN44" s="2250" t="str">
        <f>IF(T44="","",T44)</f>
        <v>Наименование системы теплоснабжения </v>
      </c>
      <c r="AO44" s="2250"/>
      <c r="AP44" s="2250"/>
      <c r="AQ44" s="2257">
        <v>23</v>
      </c>
    </row>
    <row customHeight="1" ht="22.049999999999997">
      <c r="A45" s="1893" t="s">
        <v>224</v>
      </c>
      <c r="B45" s="1893" t="s">
        <v>225</v>
      </c>
      <c r="C45" s="1893" t="s">
        <v>226</v>
      </c>
      <c r="D45" s="1893" t="s">
        <v>227</v>
      </c>
      <c r="E45" s="2916"/>
      <c r="F45" s="2916"/>
      <c r="G45" s="2916"/>
      <c r="H45" s="2915">
        <v>1</v>
      </c>
      <c r="I45" s="1893"/>
      <c r="J45" s="1893"/>
      <c r="K45" s="1893"/>
      <c r="L45" s="1936"/>
      <c r="M45" s="2236"/>
      <c r="N45" s="2236"/>
      <c r="O45" s="2236"/>
      <c r="P45" s="2038"/>
      <c r="Q45" s="2037"/>
      <c r="R45" s="979"/>
      <c r="S45" s="2584" t="str">
        <f>INDEX(PT_DIFFERENTIATION_NUM_IST_TE,MATCH(D45,PT_DIFFERENTIATION_IST_TE_ID,0))</f>
        <v>...</v>
      </c>
      <c r="T45" s="936" t="s">
        <v>419</v>
      </c>
      <c r="U45" s="926"/>
      <c r="V45" s="2869"/>
      <c r="W45" s="2869"/>
      <c r="X45" s="2869"/>
      <c r="Y45" s="2869"/>
      <c r="Z45" s="2869"/>
      <c r="AA45" s="2870"/>
      <c r="AB45" s="2578"/>
      <c r="AC45" s="2869" t="str">
        <f>INDEX(PT_DIFFERENTIATION_IST_TE,MATCH(D45,PT_DIFFERENTIATION_IST_TE_ID,0))</f>
        <v/>
      </c>
      <c r="AD45" s="2869"/>
      <c r="AE45" s="2869"/>
      <c r="AF45" s="2869"/>
      <c r="AG45" s="2869"/>
      <c r="AH45" s="2869"/>
      <c r="AI45" s="2869"/>
      <c r="AJ45" s="2870"/>
      <c r="AK45" s="1884" t="s">
        <v>420</v>
      </c>
      <c r="AM45" s="2250"/>
      <c r="AN45" s="2250" t="str">
        <f>IF(T45="","",T45)</f>
        <v>Источник тепловой энергии  </v>
      </c>
      <c r="AO45" s="2250"/>
      <c r="AP45" s="2250"/>
      <c r="AQ45" s="2257">
        <v>21</v>
      </c>
    </row>
    <row s="34658" customFormat="1" customHeight="1" ht="0">
      <c r="A46" s="2001" t="s">
        <v>224</v>
      </c>
      <c r="B46" s="2001" t="s">
        <v>225</v>
      </c>
      <c r="C46" s="2001" t="s">
        <v>226</v>
      </c>
      <c r="D46" s="2001" t="s">
        <v>227</v>
      </c>
      <c r="E46" s="2916"/>
      <c r="F46" s="2916"/>
      <c r="G46" s="2916"/>
      <c r="H46" s="2916"/>
      <c r="I46" s="2753" t="str">
        <f>S45&amp;".1"</f>
        <v>....1</v>
      </c>
      <c r="J46" s="2001"/>
      <c r="K46" s="2001"/>
      <c r="L46" s="2007" t="s">
        <v>421</v>
      </c>
      <c r="M46" s="1872"/>
      <c r="N46" s="1872"/>
      <c r="O46" s="1872"/>
      <c r="P46" s="2883">
        <v>1</v>
      </c>
      <c r="Q46" s="2580"/>
      <c r="R46" s="982"/>
      <c r="S46" s="1668"/>
      <c r="T46" s="2009"/>
      <c r="U46" s="2010"/>
      <c r="V46" s="2923"/>
      <c r="W46" s="2923"/>
      <c r="X46" s="2923"/>
      <c r="Y46" s="2923"/>
      <c r="Z46" s="2923"/>
      <c r="AA46" s="2924"/>
      <c r="AB46" s="2586"/>
      <c r="AC46" s="2923"/>
      <c r="AD46" s="2923"/>
      <c r="AE46" s="2923"/>
      <c r="AF46" s="2923"/>
      <c r="AG46" s="2923"/>
      <c r="AH46" s="2923"/>
      <c r="AI46" s="2923"/>
      <c r="AJ46" s="2924"/>
      <c r="AK46" s="2011"/>
      <c r="AM46" s="2250"/>
      <c r="AN46" s="2250" t="str">
        <f>IF(T46="","",T46)</f>
        <v/>
      </c>
      <c r="AO46" s="2250"/>
      <c r="AP46" s="2250"/>
      <c r="AQ46" s="2262">
        <v>0</v>
      </c>
    </row>
    <row s="34658" customFormat="1" customHeight="1" ht="0">
      <c r="A47" s="2001" t="s">
        <v>224</v>
      </c>
      <c r="B47" s="2001" t="s">
        <v>225</v>
      </c>
      <c r="C47" s="2001" t="s">
        <v>226</v>
      </c>
      <c r="D47" s="2001" t="s">
        <v>227</v>
      </c>
      <c r="E47" s="2916"/>
      <c r="F47" s="2916"/>
      <c r="G47" s="2916"/>
      <c r="H47" s="2916"/>
      <c r="I47" s="2727"/>
      <c r="J47" s="2753" t="str">
        <f>S45&amp;".1"</f>
        <v>....1</v>
      </c>
      <c r="K47" s="2001"/>
      <c r="L47" s="2007"/>
      <c r="M47" s="1872"/>
      <c r="N47" s="1872"/>
      <c r="O47" s="1872"/>
      <c r="P47" s="2883"/>
      <c r="Q47" s="2883">
        <v>1</v>
      </c>
      <c r="R47" s="983"/>
      <c r="S47" s="1668"/>
      <c r="T47" s="2025"/>
      <c r="U47" s="2010"/>
      <c r="V47" s="2923"/>
      <c r="W47" s="2923"/>
      <c r="X47" s="2923"/>
      <c r="Y47" s="2923"/>
      <c r="Z47" s="2923"/>
      <c r="AA47" s="2924"/>
      <c r="AB47" s="2586"/>
      <c r="AC47" s="2923"/>
      <c r="AD47" s="2923"/>
      <c r="AE47" s="2923"/>
      <c r="AF47" s="2923"/>
      <c r="AG47" s="2923"/>
      <c r="AH47" s="2923"/>
      <c r="AI47" s="2923"/>
      <c r="AJ47" s="2924"/>
      <c r="AK47" s="2011"/>
      <c r="AM47" s="2250"/>
      <c r="AN47" s="2250" t="str">
        <f>IF(T47="","",T47)</f>
        <v/>
      </c>
      <c r="AO47" s="2250"/>
      <c r="AP47" s="2250"/>
      <c r="AQ47" s="2262">
        <v>0</v>
      </c>
    </row>
    <row customHeight="1" ht="22.049999999999997">
      <c r="A48" s="1893" t="s">
        <v>224</v>
      </c>
      <c r="B48" s="1893" t="s">
        <v>225</v>
      </c>
      <c r="C48" s="1893" t="s">
        <v>226</v>
      </c>
      <c r="D48" s="1893" t="s">
        <v>227</v>
      </c>
      <c r="E48" s="2916"/>
      <c r="F48" s="2916"/>
      <c r="G48" s="2916"/>
      <c r="H48" s="2916"/>
      <c r="I48" s="2727"/>
      <c r="J48" s="2727"/>
      <c r="K48" s="2567" t="str">
        <f>S45&amp;".1"</f>
        <v>....1</v>
      </c>
      <c r="L48" s="1936"/>
      <c r="P48" s="2883"/>
      <c r="Q48" s="2883"/>
      <c r="R48" s="983">
        <v>1</v>
      </c>
      <c r="S48" s="2588" t="str">
        <f>$K48</f>
        <v>....1</v>
      </c>
      <c r="T48" s="2587"/>
      <c r="U48" s="926"/>
      <c r="V48" s="1377"/>
      <c r="W48" s="1883"/>
      <c r="X48" s="2581"/>
      <c r="Y48" s="2568" t="s">
        <v>66</v>
      </c>
      <c r="Z48" s="2581"/>
      <c r="AA48" s="2568" t="s">
        <v>66</v>
      </c>
      <c r="AB48" s="2590"/>
      <c r="AC48" s="2589" t="s">
        <v>22</v>
      </c>
      <c r="AD48" s="1377"/>
      <c r="AE48" s="1883"/>
      <c r="AF48" s="2581"/>
      <c r="AG48" s="2568" t="s">
        <v>66</v>
      </c>
      <c r="AH48" s="2581"/>
      <c r="AI48" s="2568" t="s">
        <v>66</v>
      </c>
      <c r="AJ48" s="1974"/>
      <c r="AK48" s="2879" t="s">
        <v>498</v>
      </c>
      <c r="AL48" s="2262">
        <f>STRCHECKDATE(#REF!)</f>
      </c>
      <c r="AM48" s="2250"/>
      <c r="AN48" s="2250" t="str">
        <f>IF(T48="","",T48)</f>
        <v/>
      </c>
      <c r="AO48" s="2250"/>
      <c r="AP48" s="2250"/>
      <c r="AQ48" s="2257">
        <v>21</v>
      </c>
    </row>
    <row customHeight="1" ht="11.549999999999999">
      <c r="A49" s="1893" t="s">
        <v>224</v>
      </c>
      <c r="B49" s="1893" t="s">
        <v>225</v>
      </c>
      <c r="C49" s="1893" t="s">
        <v>226</v>
      </c>
      <c r="D49" s="1893" t="s">
        <v>227</v>
      </c>
      <c r="E49" s="2916"/>
      <c r="F49" s="2916"/>
      <c r="G49" s="2916"/>
      <c r="H49" s="2916"/>
      <c r="I49" s="2727"/>
      <c r="J49" s="2753"/>
      <c r="K49" s="1893"/>
      <c r="L49" s="1936"/>
      <c r="P49" s="2883"/>
      <c r="Q49" s="2883"/>
      <c r="R49" s="982"/>
      <c r="S49" s="1904"/>
      <c r="T49" s="913" t="s">
        <v>486</v>
      </c>
      <c r="U49" s="1226"/>
      <c r="V49" s="1226"/>
      <c r="W49" s="1226"/>
      <c r="X49" s="1226"/>
      <c r="Y49" s="1226"/>
      <c r="Z49" s="1226"/>
      <c r="AA49" s="950"/>
      <c r="AB49" s="1226"/>
      <c r="AC49" s="1226"/>
      <c r="AD49" s="1226"/>
      <c r="AE49" s="1226"/>
      <c r="AF49" s="1226"/>
      <c r="AG49" s="1226"/>
      <c r="AH49" s="1226"/>
      <c r="AI49" s="1226"/>
      <c r="AJ49" s="950"/>
      <c r="AK49" s="2881"/>
      <c r="AM49" s="2250"/>
      <c r="AN49" s="2250" t="str">
        <f>IF(T49="","",T49)</f>
        <v>Добавить строку</v>
      </c>
      <c r="AO49" s="2250"/>
      <c r="AP49" s="2250"/>
      <c r="AQ49" s="2257">
        <v>11</v>
      </c>
    </row>
    <row s="34658" customFormat="1" customHeight="1" ht="1.05">
      <c r="A50" s="2001" t="s">
        <v>224</v>
      </c>
      <c r="B50" s="2001" t="s">
        <v>225</v>
      </c>
      <c r="C50" s="2001" t="s">
        <v>226</v>
      </c>
      <c r="D50" s="2001" t="s">
        <v>227</v>
      </c>
      <c r="E50" s="2916"/>
      <c r="F50" s="2916"/>
      <c r="G50" s="2916"/>
      <c r="H50" s="2916"/>
      <c r="I50" s="2753"/>
      <c r="J50" s="2001"/>
      <c r="K50" s="2001"/>
      <c r="L50" s="2007"/>
      <c r="M50" s="1872"/>
      <c r="N50" s="1872"/>
      <c r="O50" s="1872"/>
      <c r="P50" s="2883"/>
      <c r="Q50" s="2580"/>
      <c r="R50" s="982"/>
      <c r="S50" s="2012"/>
      <c r="T50" s="2013" t="s">
        <v>430</v>
      </c>
      <c r="U50" s="2014"/>
      <c r="V50" s="2014"/>
      <c r="W50" s="2014"/>
      <c r="X50" s="2014"/>
      <c r="Y50" s="2014"/>
      <c r="Z50" s="2014"/>
      <c r="AA50" s="2014"/>
      <c r="AB50" s="2014"/>
      <c r="AC50" s="2014"/>
      <c r="AD50" s="2014"/>
      <c r="AE50" s="2014"/>
      <c r="AF50" s="2014"/>
      <c r="AG50" s="2014"/>
      <c r="AH50" s="2014"/>
      <c r="AI50" s="2014"/>
      <c r="AJ50" s="2014"/>
      <c r="AK50" s="2015"/>
      <c r="AM50" s="2250"/>
      <c r="AN50" s="2250" t="str">
        <f>IF(T50="","",T50)</f>
        <v>Добавить группу потребителей</v>
      </c>
      <c r="AO50" s="2250"/>
      <c r="AP50" s="2250"/>
      <c r="AQ50" s="2262">
        <v>1</v>
      </c>
    </row>
    <row s="35197" customFormat="1" customHeight="1" ht="1.05">
      <c r="A51" s="2001" t="s">
        <v>224</v>
      </c>
      <c r="B51" s="2001" t="s">
        <v>225</v>
      </c>
      <c r="C51" s="2001" t="s">
        <v>226</v>
      </c>
      <c r="D51" s="2001" t="s">
        <v>227</v>
      </c>
      <c r="E51" s="2916"/>
      <c r="F51" s="2916"/>
      <c r="G51" s="2916"/>
      <c r="H51" s="2915"/>
      <c r="I51" s="2001"/>
      <c r="J51" s="2001"/>
      <c r="K51" s="2001"/>
      <c r="L51" s="2007"/>
      <c r="M51" s="2004"/>
      <c r="N51" s="2004"/>
      <c r="O51" s="977"/>
      <c r="P51" s="1006"/>
      <c r="Q51" s="1970"/>
      <c r="R51" s="2026"/>
      <c r="S51" s="2012"/>
      <c r="T51" s="2013"/>
      <c r="U51" s="2014"/>
      <c r="V51" s="2014"/>
      <c r="W51" s="2014"/>
      <c r="X51" s="2014"/>
      <c r="Y51" s="2014"/>
      <c r="Z51" s="2014"/>
      <c r="AA51" s="2014"/>
      <c r="AB51" s="2014"/>
      <c r="AC51" s="2014"/>
      <c r="AD51" s="2014"/>
      <c r="AE51" s="2014"/>
      <c r="AF51" s="2014"/>
      <c r="AG51" s="2014"/>
      <c r="AH51" s="2014"/>
      <c r="AI51" s="2014"/>
      <c r="AJ51" s="2014"/>
      <c r="AK51" s="2015"/>
      <c r="AL51" s="2262"/>
      <c r="AM51" s="2250"/>
      <c r="AN51" s="2250" t="str">
        <f>IF(T51="","",T51)</f>
        <v/>
      </c>
      <c r="AO51" s="2250"/>
      <c r="AP51" s="2250"/>
      <c r="AQ51" s="2267">
        <v>1</v>
      </c>
    </row>
    <row s="34658" customFormat="1" customHeight="1" ht="1.05">
      <c r="A52" s="2001" t="s">
        <v>224</v>
      </c>
      <c r="B52" s="2001" t="s">
        <v>225</v>
      </c>
      <c r="C52" s="2001" t="s">
        <v>226</v>
      </c>
      <c r="D52" s="2000"/>
      <c r="E52" s="2916"/>
      <c r="F52" s="2916"/>
      <c r="G52" s="2915"/>
      <c r="H52" s="2000"/>
      <c r="I52" s="2000"/>
      <c r="J52" s="2000"/>
      <c r="K52" s="2000"/>
      <c r="L52" s="2003"/>
      <c r="M52" s="2004"/>
      <c r="N52" s="2004"/>
      <c r="O52" s="977"/>
      <c r="P52" s="1942"/>
      <c r="Q52" s="1943"/>
      <c r="R52" s="1942"/>
      <c r="S52" s="1948"/>
      <c r="T52" s="1951" t="s">
        <v>432</v>
      </c>
      <c r="U52" s="1950"/>
      <c r="V52" s="1950"/>
      <c r="W52" s="1950"/>
      <c r="X52" s="1950"/>
      <c r="Y52" s="1950"/>
      <c r="Z52" s="1950"/>
      <c r="AA52" s="1950"/>
      <c r="AB52" s="1950"/>
      <c r="AC52" s="1950"/>
      <c r="AD52" s="1950"/>
      <c r="AE52" s="1950"/>
      <c r="AF52" s="1950"/>
      <c r="AG52" s="1950"/>
      <c r="AH52" s="1950"/>
      <c r="AI52" s="1950"/>
      <c r="AJ52" s="1950"/>
      <c r="AK52" s="1950"/>
      <c r="AM52" s="1877"/>
      <c r="AN52" s="1877" t="str">
        <f>IF(T52="","",T52)</f>
        <v>Добавить источник для дифференциации</v>
      </c>
      <c r="AO52" s="1877"/>
      <c r="AP52" s="1877"/>
      <c r="AQ52" s="2268">
        <v>1</v>
      </c>
    </row>
    <row s="34658" customFormat="1" customHeight="1" ht="1.05">
      <c r="A53" s="2001" t="s">
        <v>224</v>
      </c>
      <c r="B53" s="2001" t="s">
        <v>225</v>
      </c>
      <c r="C53" s="2000"/>
      <c r="D53" s="2000"/>
      <c r="E53" s="2916"/>
      <c r="F53" s="2915"/>
      <c r="G53" s="2000"/>
      <c r="H53" s="2000"/>
      <c r="I53" s="2000"/>
      <c r="J53" s="2000"/>
      <c r="K53" s="2000"/>
      <c r="L53" s="2003"/>
      <c r="M53" s="2005"/>
      <c r="N53" s="2005"/>
      <c r="O53" s="977"/>
      <c r="P53" s="1942"/>
      <c r="Q53" s="1943"/>
      <c r="R53" s="1942"/>
      <c r="S53" s="1948"/>
      <c r="T53" s="1951" t="s">
        <v>433</v>
      </c>
      <c r="U53" s="1950"/>
      <c r="V53" s="1950"/>
      <c r="W53" s="1950"/>
      <c r="X53" s="1950"/>
      <c r="Y53" s="1950"/>
      <c r="Z53" s="1950"/>
      <c r="AA53" s="1950"/>
      <c r="AB53" s="1950"/>
      <c r="AC53" s="1950"/>
      <c r="AD53" s="1950"/>
      <c r="AE53" s="1950"/>
      <c r="AF53" s="1950"/>
      <c r="AG53" s="1950"/>
      <c r="AH53" s="1950"/>
      <c r="AI53" s="1950"/>
      <c r="AJ53" s="1950"/>
      <c r="AK53" s="1950"/>
      <c r="AM53" s="1877"/>
      <c r="AN53" s="1877" t="str">
        <f>IF(T53="","",T53)</f>
        <v>Добавить централизованную систему для дифференциации</v>
      </c>
      <c r="AO53" s="1877"/>
      <c r="AP53" s="1877"/>
      <c r="AQ53" s="2268">
        <v>1</v>
      </c>
    </row>
    <row s="34658" customFormat="1" customHeight="1" ht="1.05">
      <c r="A54" s="2001" t="s">
        <v>224</v>
      </c>
      <c r="B54" s="2001"/>
      <c r="C54" s="2001"/>
      <c r="D54" s="2001"/>
      <c r="E54" s="2916"/>
      <c r="F54" s="2001"/>
      <c r="G54" s="2001"/>
      <c r="H54" s="2001"/>
      <c r="I54" s="2001"/>
      <c r="J54" s="2001"/>
      <c r="K54" s="2001"/>
      <c r="L54" s="2007"/>
      <c r="M54" s="2005"/>
      <c r="N54" s="2005"/>
      <c r="O54" s="977"/>
      <c r="P54" s="1006"/>
      <c r="Q54" s="1970"/>
      <c r="R54" s="1006"/>
      <c r="S54" s="1948"/>
      <c r="T54" s="1951" t="s">
        <v>434</v>
      </c>
      <c r="U54" s="1950"/>
      <c r="V54" s="1950"/>
      <c r="W54" s="1950"/>
      <c r="X54" s="1950"/>
      <c r="Y54" s="1950"/>
      <c r="Z54" s="1950"/>
      <c r="AA54" s="1950"/>
      <c r="AB54" s="1950"/>
      <c r="AC54" s="1950"/>
      <c r="AD54" s="1950"/>
      <c r="AE54" s="1950"/>
      <c r="AF54" s="1950"/>
      <c r="AG54" s="1950"/>
      <c r="AH54" s="1950"/>
      <c r="AI54" s="1950"/>
      <c r="AJ54" s="1950"/>
      <c r="AK54" s="1950"/>
      <c r="AM54" s="2250"/>
      <c r="AN54" s="2250" t="str">
        <f>IF(T54="","",T54)</f>
        <v>Добавить территорию для дифференциации</v>
      </c>
      <c r="AO54" s="2250"/>
      <c r="AP54" s="2250"/>
      <c r="AQ54" s="2262">
        <v>1</v>
      </c>
    </row>
    <row s="34658" customFormat="1" customHeight="1" ht="1.05">
      <c r="A55" s="2001" t="s">
        <v>224</v>
      </c>
      <c r="B55" s="2001"/>
      <c r="C55" s="2001"/>
      <c r="D55" s="2001"/>
      <c r="E55" s="2915"/>
      <c r="F55" s="2001"/>
      <c r="G55" s="2001"/>
      <c r="H55" s="2001"/>
      <c r="I55" s="2001"/>
      <c r="J55" s="2001"/>
      <c r="K55" s="2001"/>
      <c r="L55" s="2007"/>
      <c r="M55" s="2005"/>
      <c r="N55" s="2005"/>
      <c r="O55" s="977"/>
      <c r="P55" s="1006"/>
      <c r="Q55" s="1970"/>
      <c r="R55" s="1006"/>
      <c r="S55" s="1948"/>
      <c r="T55" s="1951" t="s">
        <v>434</v>
      </c>
      <c r="U55" s="1950"/>
      <c r="V55" s="1950"/>
      <c r="W55" s="1950"/>
      <c r="X55" s="1950"/>
      <c r="Y55" s="1950"/>
      <c r="Z55" s="1950"/>
      <c r="AA55" s="1950"/>
      <c r="AB55" s="1950"/>
      <c r="AC55" s="1950"/>
      <c r="AD55" s="1950"/>
      <c r="AE55" s="1950"/>
      <c r="AF55" s="1950"/>
      <c r="AG55" s="1950"/>
      <c r="AH55" s="1950"/>
      <c r="AI55" s="1950"/>
      <c r="AJ55" s="1950"/>
      <c r="AK55" s="1950"/>
      <c r="AM55" s="2250"/>
      <c r="AN55" s="2250" t="str">
        <f>IF(T55="","",T55)</f>
        <v>Добавить территорию для дифференциации</v>
      </c>
      <c r="AO55" s="2250"/>
      <c r="AP55" s="2250"/>
      <c r="AQ55" s="2262">
        <v>1</v>
      </c>
    </row>
    <row s="34658" customFormat="1" customHeight="1" ht="1.05">
      <c r="A56" s="2000"/>
      <c r="B56" s="2000"/>
      <c r="C56" s="2000"/>
      <c r="D56" s="2000"/>
      <c r="E56" s="2001"/>
      <c r="F56" s="2000"/>
      <c r="G56" s="2000"/>
      <c r="H56" s="2000"/>
      <c r="I56" s="2000"/>
      <c r="J56" s="2000"/>
      <c r="K56" s="2000"/>
      <c r="L56" s="2003"/>
      <c r="M56" s="2005"/>
      <c r="N56" s="2005"/>
      <c r="O56" s="977"/>
      <c r="P56" s="1942"/>
      <c r="Q56" s="1943"/>
      <c r="R56" s="1942"/>
      <c r="S56" s="1948"/>
      <c r="T56" s="1951" t="s">
        <v>466</v>
      </c>
      <c r="U56" s="1950"/>
      <c r="V56" s="1950"/>
      <c r="W56" s="1950"/>
      <c r="X56" s="1950"/>
      <c r="Y56" s="1950"/>
      <c r="Z56" s="1950"/>
      <c r="AA56" s="1950"/>
      <c r="AB56" s="1950"/>
      <c r="AC56" s="1950"/>
      <c r="AD56" s="1950"/>
      <c r="AE56" s="1950"/>
      <c r="AF56" s="1950"/>
      <c r="AG56" s="1950"/>
      <c r="AH56" s="1950"/>
      <c r="AI56" s="1950"/>
      <c r="AJ56" s="1950"/>
      <c r="AK56" s="1950"/>
      <c r="AM56" s="1877"/>
      <c r="AN56" s="1877" t="str">
        <f>IF(T56="","",T56)</f>
        <v>Добавить наименование тарифа</v>
      </c>
      <c r="AO56" s="1877"/>
      <c r="AP56" s="1877"/>
      <c r="AQ56" s="2268">
        <v>1</v>
      </c>
    </row>
    <row customHeight="1" ht="11.549999999999999">
      <c r="M57" s="2257"/>
      <c r="N57" s="2257"/>
      <c r="O57" s="2261"/>
      <c r="P57" s="1992"/>
      <c r="Q57" s="1992"/>
      <c r="R57" s="2257"/>
      <c r="S57" s="2257"/>
      <c r="AL57" s="2257"/>
      <c r="AM57" s="2257"/>
      <c r="AN57" s="2257"/>
      <c r="AO57" s="2257"/>
      <c r="AP57" s="2257"/>
      <c r="AQ57" s="2257">
        <v>11</v>
      </c>
    </row>
    <row customHeight="1" ht="19.95">
      <c r="O58" s="2261"/>
      <c r="S58" s="1879"/>
      <c r="T58" s="2911"/>
      <c r="U58" s="2911"/>
      <c r="V58" s="2911"/>
      <c r="W58" s="2911"/>
      <c r="X58" s="2911"/>
      <c r="Y58" s="2911"/>
      <c r="Z58" s="2911"/>
      <c r="AA58" s="2911"/>
      <c r="AB58" s="2911"/>
      <c r="AC58" s="2911"/>
      <c r="AD58" s="2911"/>
      <c r="AE58" s="2911"/>
      <c r="AF58" s="2911"/>
      <c r="AG58" s="2911"/>
      <c r="AH58" s="2911"/>
      <c r="AI58" s="2911"/>
      <c r="AJ58" s="2911"/>
      <c r="AK58" s="2911"/>
      <c r="AQ58" s="2257">
        <v>19</v>
      </c>
    </row>
    <row customHeight="1" ht="21">
      <c r="O59" s="2261"/>
      <c r="T59" s="2911"/>
      <c r="U59" s="2911"/>
      <c r="V59" s="2911"/>
      <c r="W59" s="2911"/>
      <c r="X59" s="2911"/>
      <c r="Y59" s="2911"/>
      <c r="Z59" s="2911"/>
      <c r="AA59" s="2911"/>
      <c r="AB59" s="2911"/>
      <c r="AC59" s="2911"/>
      <c r="AD59" s="2911"/>
      <c r="AE59" s="2911"/>
      <c r="AF59" s="2911"/>
      <c r="AG59" s="2911"/>
      <c r="AH59" s="2911"/>
      <c r="AI59" s="2911"/>
      <c r="AJ59" s="2911"/>
      <c r="AK59" s="2911"/>
      <c r="AQ59" s="2257">
        <v>20</v>
      </c>
    </row>
    <row customHeight="1" ht="14.699999999999998">
      <c r="O60" s="2261"/>
      <c r="T60" s="2579"/>
      <c r="U60" s="2579"/>
      <c r="V60" s="2579"/>
      <c r="W60" s="2579"/>
      <c r="X60" s="2579"/>
      <c r="Y60" s="2579"/>
      <c r="Z60" s="2579"/>
      <c r="AA60" s="2579"/>
      <c r="AB60" s="2579"/>
      <c r="AC60" s="2579"/>
      <c r="AD60" s="2579"/>
      <c r="AE60" s="2579"/>
      <c r="AF60" s="2579"/>
      <c r="AG60" s="2579"/>
      <c r="AH60" s="2579"/>
      <c r="AI60" s="2579"/>
      <c r="AJ60" s="2579"/>
      <c r="AK60" s="2579"/>
      <c r="AQ60" s="2257">
        <v>14</v>
      </c>
    </row>
    <row customHeight="1" ht="19.95">
      <c r="O61" s="2261"/>
      <c r="T61" s="2911"/>
      <c r="U61" s="2911"/>
      <c r="V61" s="2911"/>
      <c r="W61" s="2911"/>
      <c r="X61" s="2911"/>
      <c r="Y61" s="2911"/>
      <c r="Z61" s="2911"/>
      <c r="AA61" s="2911"/>
      <c r="AB61" s="2911"/>
      <c r="AC61" s="2911"/>
      <c r="AD61" s="2911"/>
      <c r="AE61" s="2911"/>
      <c r="AF61" s="2911"/>
      <c r="AG61" s="2911"/>
      <c r="AH61" s="2911"/>
      <c r="AI61" s="2911"/>
      <c r="AJ61" s="2911"/>
      <c r="AK61" s="2911"/>
      <c r="AQ61" s="2257">
        <v>19</v>
      </c>
    </row>
    <row customHeight="1" ht="16.8">
      <c r="O62" s="2261"/>
      <c r="T62" s="2911"/>
      <c r="U62" s="2911"/>
      <c r="V62" s="2911"/>
      <c r="W62" s="2911"/>
      <c r="X62" s="2911"/>
      <c r="Y62" s="2911"/>
      <c r="Z62" s="2911"/>
      <c r="AA62" s="2911"/>
      <c r="AB62" s="2911"/>
      <c r="AC62" s="2911"/>
      <c r="AD62" s="2911"/>
      <c r="AE62" s="2911"/>
      <c r="AF62" s="2911"/>
      <c r="AG62" s="2911"/>
      <c r="AH62" s="2911"/>
      <c r="AI62" s="2911"/>
      <c r="AJ62" s="2911"/>
      <c r="AK62" s="2911"/>
      <c r="AQ62" s="2257">
        <v>16</v>
      </c>
    </row>
    <row customHeight="1" ht="14.699999999999998">
      <c r="O63" s="2261"/>
      <c r="AQ63" s="2257">
        <v>14</v>
      </c>
    </row>
    <row customHeight="1" ht="22.5" hidden="1">
      <c r="A64" s="2257" t="s">
        <v>82</v>
      </c>
      <c r="B64" s="2257">
        <v>0</v>
      </c>
      <c r="C64" s="2257">
        <v>0</v>
      </c>
      <c r="D64" s="2257">
        <v>0</v>
      </c>
      <c r="E64" s="2257">
        <v>0</v>
      </c>
      <c r="F64" s="2257">
        <v>0</v>
      </c>
      <c r="G64" s="2257">
        <v>0</v>
      </c>
      <c r="H64" s="2257">
        <v>0</v>
      </c>
      <c r="I64" s="2257">
        <v>0</v>
      </c>
      <c r="J64" s="2257">
        <v>0</v>
      </c>
      <c r="K64" s="2257">
        <v>0</v>
      </c>
      <c r="L64" s="2565">
        <v>0</v>
      </c>
      <c r="M64" s="2591">
        <v>0</v>
      </c>
      <c r="N64" s="2591">
        <v>0</v>
      </c>
      <c r="O64" s="2591">
        <v>0</v>
      </c>
      <c r="P64" s="1988">
        <v>3</v>
      </c>
      <c r="Q64" s="1997">
        <v>3</v>
      </c>
      <c r="R64" s="970">
        <v>3</v>
      </c>
      <c r="S64" s="1207">
        <v>12</v>
      </c>
      <c r="T64" s="2257">
        <v>31</v>
      </c>
      <c r="U64" s="2257">
        <v>0</v>
      </c>
      <c r="V64" s="2257">
        <v>0</v>
      </c>
      <c r="W64" s="2257">
        <v>0</v>
      </c>
      <c r="X64" s="2257">
        <v>0</v>
      </c>
      <c r="Y64" s="2257">
        <v>0</v>
      </c>
      <c r="Z64" s="2257">
        <v>0</v>
      </c>
      <c r="AA64" s="2257">
        <v>0</v>
      </c>
      <c r="AB64" s="2257">
        <v>27</v>
      </c>
      <c r="AC64" s="2257">
        <v>24</v>
      </c>
      <c r="AD64" s="2257">
        <v>21</v>
      </c>
      <c r="AE64" s="2257">
        <v>21</v>
      </c>
      <c r="AF64" s="2257">
        <v>11</v>
      </c>
      <c r="AG64" s="2257">
        <v>3</v>
      </c>
      <c r="AH64" s="2257">
        <v>11</v>
      </c>
      <c r="AI64" s="2257">
        <v>8</v>
      </c>
      <c r="AJ64" s="2257">
        <v>4</v>
      </c>
      <c r="AK64" s="2257">
        <v>115</v>
      </c>
      <c r="AL64" s="2262">
        <v>10</v>
      </c>
      <c r="AM64" s="2262">
        <v>10</v>
      </c>
      <c r="AN64" s="2262">
        <v>10</v>
      </c>
      <c r="AO64" s="2262">
        <v>10</v>
      </c>
      <c r="AP64" s="2262">
        <v>10</v>
      </c>
      <c r="AQ64" s="2257">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E7C988-0CE2-095E-F3B6-DFF07316E91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34657" width="11.57421875" hidden="1" customWidth="1"/>
    <col min="2" max="2" style="34657" width="11.00390625" hidden="1" customWidth="1"/>
    <col min="3" max="3" style="34657" width="10.57421875" hidden="1"/>
    <col min="4" max="4" style="34657" width="12.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2.00390625" hidden="1" customWidth="1"/>
    <col min="10" max="10" style="34657" width="9.8515625" hidden="1" customWidth="1"/>
    <col min="11" max="11" style="34657" width="11.421875" hidden="1" customWidth="1"/>
    <col min="12" max="12" style="35439" width="19.140625" hidden="1" customWidth="1"/>
    <col min="13" max="14" style="35440" width="12.28125" hidden="1" customWidth="1"/>
    <col min="15" max="15" style="35440" width="23.421875" hidden="1" customWidth="1"/>
    <col min="16" max="16" style="35440" width="3.7109375" hidden="1" customWidth="1"/>
    <col min="17" max="17" style="35625" width="3.7109375" hidden="1" customWidth="1"/>
    <col min="18" max="18" style="35442" width="3.00390625" customWidth="1"/>
    <col min="19" max="19" style="35443" width="12.00390625" customWidth="1"/>
    <col min="20" max="20" style="34580" width="31.00390625" customWidth="1"/>
    <col min="21" max="21" style="34580" width="0.140625" customWidth="1"/>
    <col min="22" max="25" style="34580" width="21.710937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3.7109375" customWidth="1"/>
    <col min="31" max="32" style="34580" width="3.00390625" customWidth="1"/>
    <col min="33" max="33" style="34580" width="24.00390625" customWidth="1"/>
    <col min="34" max="34" style="34580" width="3.7109375" customWidth="1"/>
    <col min="35" max="36" style="34580" width="3.00390625" customWidth="1"/>
    <col min="37" max="37" style="34580" width="24.00390625" customWidth="1"/>
    <col min="38" max="38" style="34580" width="3.7109375" customWidth="1"/>
    <col min="39" max="40" style="34580" width="3.00390625" customWidth="1"/>
    <col min="41" max="41" style="34580" width="18.00390625" customWidth="1"/>
    <col min="42" max="42" style="34580" width="3.7109375" customWidth="1"/>
    <col min="43" max="44" style="34580" width="3.00390625" customWidth="1"/>
    <col min="45" max="45" style="34580" width="18.00390625" customWidth="1"/>
    <col min="46" max="49" style="34580" width="21.00390625" customWidth="1"/>
    <col min="50" max="50" style="34580" width="11.00390625" customWidth="1"/>
    <col min="51" max="51" style="34580" width="3.7109375" customWidth="1"/>
    <col min="52" max="52" style="34580" width="11.00390625" customWidth="1"/>
    <col min="53" max="53" style="34580" width="8.57421875" hidden="1" customWidth="1"/>
    <col min="54" max="54" style="34580" width="4.00390625" customWidth="1"/>
    <col min="55" max="55" style="34580" width="115.00390625" customWidth="1"/>
    <col min="56" max="60" style="34658" width="10.00390625" customWidth="1"/>
    <col min="61" max="61" style="34580" width="10.57421875" hidden="1"/>
  </cols>
  <sheetData>
    <row customHeight="1" ht="22.5" hidden="1">
      <c r="W1" s="953"/>
      <c r="Y1" s="953"/>
      <c r="Z1" s="953"/>
      <c r="AW1" s="953"/>
      <c r="AX1" s="953"/>
      <c r="BI1" s="1781" t="s">
        <v>14</v>
      </c>
    </row>
    <row customHeight="1" ht="21" hidden="1">
      <c r="A2" s="1989"/>
      <c r="B2" s="1989"/>
      <c r="C2" s="1989"/>
      <c r="D2" s="1989"/>
      <c r="E2" s="2884">
        <v>1</v>
      </c>
      <c r="F2" s="1989"/>
      <c r="G2" s="1989"/>
      <c r="H2" s="1989"/>
      <c r="I2" s="1989"/>
      <c r="J2" s="1989"/>
      <c r="K2" s="1989"/>
      <c r="L2" s="1990"/>
      <c r="M2" s="1991"/>
      <c r="N2" s="1991"/>
      <c r="O2" s="1991"/>
      <c r="P2" s="2035"/>
      <c r="Q2" s="1499"/>
      <c r="R2" s="981"/>
      <c r="S2" s="2091">
        <f>INDEX(PT_DIFFERENTIATION_NUM_NTAR,MATCH(A2,PT_DIFFERENTIATION_NTAR_ID,0))</f>
      </c>
      <c r="T2" s="924" t="s">
        <v>143</v>
      </c>
      <c r="U2" s="926"/>
      <c r="V2" s="2869"/>
      <c r="W2" s="2869"/>
      <c r="X2" s="2869"/>
      <c r="Y2" s="2869"/>
      <c r="Z2" s="2869"/>
      <c r="AA2" s="2869"/>
      <c r="AB2" s="2869"/>
      <c r="AC2" s="2870"/>
      <c r="AD2" s="2868">
        <f>INDEX(PT_DIFFERENTIATION_NTAR,MATCH(A2,PT_DIFFERENTIATION_NTAR_ID,0))</f>
      </c>
      <c r="AE2" s="2869"/>
      <c r="AF2" s="2869"/>
      <c r="AG2" s="2869"/>
      <c r="AH2" s="2869"/>
      <c r="AI2" s="2869"/>
      <c r="AJ2" s="2869"/>
      <c r="AK2" s="2869"/>
      <c r="AL2" s="2869"/>
      <c r="AM2" s="2869"/>
      <c r="AN2" s="2869"/>
      <c r="AO2" s="2869"/>
      <c r="AP2" s="2869"/>
      <c r="AQ2" s="2869"/>
      <c r="AR2" s="2869"/>
      <c r="AS2" s="2869"/>
      <c r="AT2" s="2869"/>
      <c r="AU2" s="2869"/>
      <c r="AV2" s="2869"/>
      <c r="AW2" s="2869"/>
      <c r="AX2" s="2869"/>
      <c r="AY2" s="2869"/>
      <c r="AZ2" s="2869"/>
      <c r="BA2" s="2869"/>
      <c r="BB2" s="2870"/>
      <c r="BC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26"/>
      <c r="BF2" s="1126" t="str">
        <f>IF(T2="","",T2)</f>
        <v>Наименование тарифа</v>
      </c>
      <c r="BG2" s="1126"/>
      <c r="BH2" s="1126"/>
      <c r="BI2" s="1781">
        <v>0</v>
      </c>
    </row>
    <row customHeight="1" ht="21" hidden="1">
      <c r="A3" s="1989"/>
      <c r="B3" s="1989"/>
      <c r="C3" s="1989"/>
      <c r="D3" s="1989"/>
      <c r="E3" s="2885"/>
      <c r="F3" s="2884">
        <v>1</v>
      </c>
      <c r="G3" s="1989"/>
      <c r="H3" s="1989"/>
      <c r="I3" s="1989"/>
      <c r="J3" s="1989"/>
      <c r="K3" s="1989"/>
      <c r="L3" s="1990"/>
      <c r="M3" s="1991"/>
      <c r="N3" s="1991"/>
      <c r="O3" s="1991"/>
      <c r="P3" s="2036"/>
      <c r="Q3" s="2037"/>
      <c r="R3" s="979"/>
      <c r="S3" s="2091">
        <f>INDEX(PT_DIFFERENTIATION_NUM_TER,MATCH(B3,PT_DIFFERENTIATION_TER_ID,0))</f>
      </c>
      <c r="T3" s="934" t="s">
        <v>415</v>
      </c>
      <c r="U3" s="926"/>
      <c r="V3" s="2869"/>
      <c r="W3" s="2869"/>
      <c r="X3" s="2869"/>
      <c r="Y3" s="2869"/>
      <c r="Z3" s="2869"/>
      <c r="AA3" s="2869"/>
      <c r="AB3" s="2869"/>
      <c r="AC3" s="2870"/>
      <c r="AD3" s="2868">
        <f>INDEX(PT_DIFFERENTIATION_TER,MATCH(B3,PT_DIFFERENTIATION_TER_ID,0))</f>
      </c>
      <c r="AE3" s="2869"/>
      <c r="AF3" s="2869"/>
      <c r="AG3" s="2869"/>
      <c r="AH3" s="2869"/>
      <c r="AI3" s="2869"/>
      <c r="AJ3" s="2869"/>
      <c r="AK3" s="2869"/>
      <c r="AL3" s="2869"/>
      <c r="AM3" s="2869"/>
      <c r="AN3" s="2869"/>
      <c r="AO3" s="2869"/>
      <c r="AP3" s="2869"/>
      <c r="AQ3" s="2869"/>
      <c r="AR3" s="2869"/>
      <c r="AS3" s="2869"/>
      <c r="AT3" s="2869"/>
      <c r="AU3" s="2869"/>
      <c r="AV3" s="2869"/>
      <c r="AW3" s="2869"/>
      <c r="AX3" s="2869"/>
      <c r="AY3" s="2869"/>
      <c r="AZ3" s="2869"/>
      <c r="BA3" s="2869"/>
      <c r="BB3" s="2870"/>
      <c r="BC3" s="1884" t="s">
        <v>416</v>
      </c>
      <c r="BE3" s="1126"/>
      <c r="BF3" s="1126" t="str">
        <f>IF(T3="","",T3)</f>
        <v>Территория действия тарифа</v>
      </c>
      <c r="BG3" s="1126"/>
      <c r="BH3" s="1126"/>
      <c r="BI3" s="1781">
        <v>0</v>
      </c>
    </row>
    <row customHeight="1" ht="42" hidden="1">
      <c r="A4" s="1989"/>
      <c r="B4" s="1989"/>
      <c r="C4" s="1989"/>
      <c r="D4" s="1989"/>
      <c r="E4" s="2885"/>
      <c r="F4" s="2885"/>
      <c r="G4" s="2884">
        <v>1</v>
      </c>
      <c r="H4" s="1989"/>
      <c r="I4" s="1989"/>
      <c r="J4" s="1989"/>
      <c r="K4" s="1989"/>
      <c r="L4" s="1990"/>
      <c r="M4" s="1991"/>
      <c r="N4" s="1991"/>
      <c r="O4" s="1991"/>
      <c r="P4" s="2038"/>
      <c r="Q4" s="2037"/>
      <c r="R4" s="979"/>
      <c r="S4" s="2091">
        <f>INDEX(PT_DIFFERENTIATION_NUM_CS,MATCH(C4,PT_DIFFERENTIATION_CS_ID,0))</f>
      </c>
      <c r="T4" s="935" t="s">
        <v>499</v>
      </c>
      <c r="U4" s="926"/>
      <c r="V4" s="2869"/>
      <c r="W4" s="2869"/>
      <c r="X4" s="2869"/>
      <c r="Y4" s="2869"/>
      <c r="Z4" s="2869"/>
      <c r="AA4" s="2869"/>
      <c r="AB4" s="2869"/>
      <c r="AC4" s="2870"/>
      <c r="AD4" s="2868">
        <f>INDEX(PT_DIFFERENTIATION_CS,MATCH(C4,PT_DIFFERENTIATION_CS_ID,0))</f>
      </c>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869"/>
      <c r="BB4" s="2870"/>
      <c r="BC4" s="1884" t="s">
        <v>500</v>
      </c>
      <c r="BE4" s="1126"/>
      <c r="BF4" s="1126" t="str">
        <f>IF(T4="","",T4)</f>
        <v>Наименование централизованной системы холодного водоснабжения</v>
      </c>
      <c r="BG4" s="1126"/>
      <c r="BH4" s="1126"/>
      <c r="BI4" s="1781">
        <v>0</v>
      </c>
    </row>
    <row s="34658" customFormat="1" customHeight="1" ht="14.25" hidden="1">
      <c r="A5" s="1969"/>
      <c r="B5" s="1969"/>
      <c r="C5" s="1969"/>
      <c r="D5" s="1969"/>
      <c r="E5" s="2885"/>
      <c r="F5" s="2885"/>
      <c r="G5" s="2885"/>
      <c r="H5" s="2884">
        <v>1</v>
      </c>
      <c r="I5" s="1969"/>
      <c r="J5" s="1969"/>
      <c r="K5" s="1969"/>
      <c r="L5" s="1972"/>
      <c r="M5" s="1941"/>
      <c r="N5" s="1941"/>
      <c r="O5" s="1941"/>
      <c r="P5" s="2123"/>
      <c r="Q5" s="2124"/>
      <c r="R5" s="983"/>
      <c r="S5" s="1668"/>
      <c r="T5" s="2125"/>
      <c r="U5" s="2010"/>
      <c r="V5" s="2923"/>
      <c r="W5" s="2923"/>
      <c r="X5" s="2923"/>
      <c r="Y5" s="2923"/>
      <c r="Z5" s="2923"/>
      <c r="AA5" s="2923"/>
      <c r="AB5" s="2923"/>
      <c r="AC5" s="2924"/>
      <c r="AD5" s="2922"/>
      <c r="AE5" s="2923"/>
      <c r="AF5" s="2923"/>
      <c r="AG5" s="2923"/>
      <c r="AH5" s="2923"/>
      <c r="AI5" s="2923"/>
      <c r="AJ5" s="2923"/>
      <c r="AK5" s="2923"/>
      <c r="AL5" s="2923"/>
      <c r="AM5" s="2923"/>
      <c r="AN5" s="2923"/>
      <c r="AO5" s="2923"/>
      <c r="AP5" s="2923"/>
      <c r="AQ5" s="2923"/>
      <c r="AR5" s="2923"/>
      <c r="AS5" s="2923"/>
      <c r="AT5" s="2923"/>
      <c r="AU5" s="2923"/>
      <c r="AV5" s="2923"/>
      <c r="AW5" s="2923"/>
      <c r="AX5" s="2923"/>
      <c r="AY5" s="2923"/>
      <c r="AZ5" s="2923"/>
      <c r="BA5" s="2923"/>
      <c r="BB5" s="2924"/>
      <c r="BC5" s="2011" t="s">
        <v>420</v>
      </c>
      <c r="BE5" s="1126"/>
      <c r="BF5" s="1126" t="str">
        <f>IF(T5="","",T5)</f>
        <v/>
      </c>
      <c r="BG5" s="1126"/>
      <c r="BH5" s="1126"/>
      <c r="BI5" s="1137">
        <v>0</v>
      </c>
    </row>
    <row s="34658" customFormat="1" customHeight="1" ht="14.25" hidden="1">
      <c r="A6" s="1969"/>
      <c r="B6" s="1969"/>
      <c r="C6" s="1969"/>
      <c r="D6" s="1969"/>
      <c r="E6" s="2885"/>
      <c r="F6" s="2885"/>
      <c r="G6" s="2885"/>
      <c r="H6" s="2885"/>
      <c r="I6" s="2882" t="str">
        <f>S5&amp;".1"</f>
        <v>.1</v>
      </c>
      <c r="J6" s="1969"/>
      <c r="K6" s="1969"/>
      <c r="L6" s="1972" t="s">
        <v>421</v>
      </c>
      <c r="M6" s="1136"/>
      <c r="N6" s="1136"/>
      <c r="O6" s="1136"/>
      <c r="P6" s="2883">
        <v>1</v>
      </c>
      <c r="Q6" s="2088"/>
      <c r="R6" s="982"/>
      <c r="S6" s="1668"/>
      <c r="T6" s="2009"/>
      <c r="U6" s="2010"/>
      <c r="V6" s="2923"/>
      <c r="W6" s="2923"/>
      <c r="X6" s="2923"/>
      <c r="Y6" s="2923"/>
      <c r="Z6" s="2923"/>
      <c r="AA6" s="2923"/>
      <c r="AB6" s="2923"/>
      <c r="AC6" s="2924"/>
      <c r="AD6" s="2922"/>
      <c r="AE6" s="2923"/>
      <c r="AF6" s="2923"/>
      <c r="AG6" s="2923"/>
      <c r="AH6" s="2923"/>
      <c r="AI6" s="2923"/>
      <c r="AJ6" s="2923"/>
      <c r="AK6" s="2923"/>
      <c r="AL6" s="2923"/>
      <c r="AM6" s="2923"/>
      <c r="AN6" s="2923"/>
      <c r="AO6" s="2923"/>
      <c r="AP6" s="2923"/>
      <c r="AQ6" s="2923"/>
      <c r="AR6" s="2923"/>
      <c r="AS6" s="2923"/>
      <c r="AT6" s="2923"/>
      <c r="AU6" s="2923"/>
      <c r="AV6" s="2923"/>
      <c r="AW6" s="2923"/>
      <c r="AX6" s="2923"/>
      <c r="AY6" s="2923"/>
      <c r="AZ6" s="2923"/>
      <c r="BA6" s="2923"/>
      <c r="BB6" s="2924"/>
      <c r="BC6" s="2011"/>
      <c r="BE6" s="1126"/>
      <c r="BF6" s="1126" t="str">
        <f>IF(T6="","",T6)</f>
        <v/>
      </c>
      <c r="BG6" s="1126"/>
      <c r="BH6" s="1126"/>
      <c r="BI6" s="1137">
        <v>0</v>
      </c>
    </row>
    <row s="34658" customFormat="1" customHeight="1" ht="14.25" hidden="1">
      <c r="A7" s="1969"/>
      <c r="B7" s="1969"/>
      <c r="C7" s="1969"/>
      <c r="D7" s="1969"/>
      <c r="E7" s="2885"/>
      <c r="F7" s="2885"/>
      <c r="G7" s="2885"/>
      <c r="H7" s="2885"/>
      <c r="I7" s="2912"/>
      <c r="J7" s="2882" t="str">
        <f>S5&amp;".1"</f>
        <v>.1</v>
      </c>
      <c r="K7" s="1969"/>
      <c r="L7" s="1972"/>
      <c r="M7" s="1136"/>
      <c r="N7" s="1136"/>
      <c r="O7" s="1136"/>
      <c r="P7" s="2883"/>
      <c r="Q7" s="2883">
        <v>1</v>
      </c>
      <c r="R7" s="983"/>
      <c r="S7" s="1668"/>
      <c r="T7" s="2025"/>
      <c r="U7" s="2010"/>
      <c r="V7" s="2923"/>
      <c r="W7" s="2923"/>
      <c r="X7" s="2923"/>
      <c r="Y7" s="2923"/>
      <c r="Z7" s="2923"/>
      <c r="AA7" s="2923"/>
      <c r="AB7" s="2923"/>
      <c r="AC7" s="2924"/>
      <c r="AD7" s="2922"/>
      <c r="AE7" s="2923"/>
      <c r="AF7" s="2923"/>
      <c r="AG7" s="2923"/>
      <c r="AH7" s="2923"/>
      <c r="AI7" s="2923"/>
      <c r="AJ7" s="2923"/>
      <c r="AK7" s="2923"/>
      <c r="AL7" s="2923"/>
      <c r="AM7" s="2923"/>
      <c r="AN7" s="2923"/>
      <c r="AO7" s="2923"/>
      <c r="AP7" s="2923"/>
      <c r="AQ7" s="2923"/>
      <c r="AR7" s="2923"/>
      <c r="AS7" s="2923"/>
      <c r="AT7" s="2923"/>
      <c r="AU7" s="2923"/>
      <c r="AV7" s="2923"/>
      <c r="AW7" s="2923"/>
      <c r="AX7" s="2923"/>
      <c r="AY7" s="2923"/>
      <c r="AZ7" s="2923"/>
      <c r="BA7" s="2923"/>
      <c r="BB7" s="2924"/>
      <c r="BC7" s="2011"/>
      <c r="BE7" s="1126"/>
      <c r="BF7" s="1126" t="str">
        <f>IF(T7="","",T7)</f>
        <v/>
      </c>
      <c r="BG7" s="1126"/>
      <c r="BH7" s="1126"/>
      <c r="BI7" s="1137">
        <v>0</v>
      </c>
    </row>
    <row customHeight="1" ht="11.25" hidden="1">
      <c r="A8" s="1989"/>
      <c r="B8" s="1989"/>
      <c r="C8" s="1989"/>
      <c r="D8" s="1989"/>
      <c r="E8" s="2885"/>
      <c r="F8" s="2885"/>
      <c r="G8" s="2885"/>
      <c r="H8" s="2885"/>
      <c r="I8" s="2912"/>
      <c r="J8" s="2912"/>
      <c r="K8" s="2882">
        <f>S4&amp;".1"</f>
      </c>
      <c r="L8" s="1990"/>
      <c r="P8" s="2883"/>
      <c r="Q8" s="2883"/>
      <c r="R8" s="2973">
        <v>1</v>
      </c>
      <c r="S8" s="2967">
        <f>$K8</f>
      </c>
      <c r="T8" s="2986"/>
      <c r="U8" s="926"/>
      <c r="V8" s="1377"/>
      <c r="W8" s="1883"/>
      <c r="X8" s="1377"/>
      <c r="Y8" s="1883"/>
      <c r="Z8" s="2360"/>
      <c r="AA8" s="2085" t="s">
        <v>66</v>
      </c>
      <c r="AB8" s="2360"/>
      <c r="AC8" s="2085" t="s">
        <v>66</v>
      </c>
      <c r="AD8" s="2811" t="s">
        <v>66</v>
      </c>
      <c r="AE8" s="2952"/>
      <c r="AF8" s="2831">
        <v>1</v>
      </c>
      <c r="AG8" s="2989"/>
      <c r="AH8" s="2733" t="s">
        <v>66</v>
      </c>
      <c r="AI8" s="2952"/>
      <c r="AJ8" s="2831">
        <v>1</v>
      </c>
      <c r="AK8" s="2953" t="s">
        <v>22</v>
      </c>
      <c r="AL8" s="2733" t="s">
        <v>66</v>
      </c>
      <c r="AM8" s="2818"/>
      <c r="AN8" s="2831">
        <v>1</v>
      </c>
      <c r="AO8" s="2983"/>
      <c r="AP8" s="2984" t="s">
        <v>66</v>
      </c>
      <c r="AQ8" s="937"/>
      <c r="AR8" s="2089">
        <v>1</v>
      </c>
      <c r="AS8" s="2092" t="s">
        <v>22</v>
      </c>
      <c r="AT8" s="1377"/>
      <c r="AU8" s="1883"/>
      <c r="AV8" s="1377"/>
      <c r="AW8" s="1883"/>
      <c r="AX8" s="2360"/>
      <c r="AY8" s="2085" t="s">
        <v>66</v>
      </c>
      <c r="AZ8" s="2360"/>
      <c r="BA8" s="2085" t="s">
        <v>66</v>
      </c>
      <c r="BB8" s="1974"/>
      <c r="BC8" s="2879" t="s">
        <v>519</v>
      </c>
      <c r="BE8" s="1126"/>
      <c r="BF8" s="1126" t="str">
        <f>IF(T8="","",T8)</f>
        <v/>
      </c>
      <c r="BG8" s="1126"/>
      <c r="BH8" s="1126"/>
      <c r="BI8" s="1781">
        <v>0</v>
      </c>
    </row>
    <row customHeight="1" ht="11.25" hidden="1">
      <c r="A9" s="1989"/>
      <c r="B9" s="1989"/>
      <c r="C9" s="1989"/>
      <c r="D9" s="1989"/>
      <c r="E9" s="2885"/>
      <c r="F9" s="2885"/>
      <c r="G9" s="2885"/>
      <c r="H9" s="2885"/>
      <c r="I9" s="2912"/>
      <c r="J9" s="2912"/>
      <c r="K9" s="2882"/>
      <c r="L9" s="1990"/>
      <c r="P9" s="2883"/>
      <c r="Q9" s="2883"/>
      <c r="R9" s="2973"/>
      <c r="S9" s="2968"/>
      <c r="T9" s="2987"/>
      <c r="U9" s="926"/>
      <c r="V9" s="2019"/>
      <c r="W9" s="2122"/>
      <c r="X9" s="2019"/>
      <c r="Y9" s="2122"/>
      <c r="Z9" s="2019"/>
      <c r="AA9" s="2019"/>
      <c r="AB9" s="2019"/>
      <c r="AC9" s="2019"/>
      <c r="AD9" s="2812"/>
      <c r="AE9" s="2952"/>
      <c r="AF9" s="2831"/>
      <c r="AG9" s="2989"/>
      <c r="AH9" s="2733"/>
      <c r="AI9" s="2952"/>
      <c r="AJ9" s="2831"/>
      <c r="AK9" s="2953"/>
      <c r="AL9" s="2733"/>
      <c r="AM9" s="2826"/>
      <c r="AN9" s="2831"/>
      <c r="AO9" s="2983"/>
      <c r="AP9" s="2985"/>
      <c r="AQ9" s="942"/>
      <c r="AR9" s="1042"/>
      <c r="AS9" s="1042" t="s">
        <v>520</v>
      </c>
      <c r="AT9" s="2019"/>
      <c r="AU9" s="2122"/>
      <c r="AV9" s="2019"/>
      <c r="AW9" s="2122"/>
      <c r="AX9" s="2019"/>
      <c r="AY9" s="2019"/>
      <c r="AZ9" s="2019"/>
      <c r="BA9" s="2019"/>
      <c r="BB9" s="2023"/>
      <c r="BC9" s="2880"/>
      <c r="BE9" s="1126"/>
      <c r="BF9" s="1126"/>
      <c r="BG9" s="1126"/>
      <c r="BH9" s="1126"/>
      <c r="BI9" s="1781">
        <v>0</v>
      </c>
    </row>
    <row customHeight="1" ht="11.25" hidden="1">
      <c r="A10" s="1989"/>
      <c r="B10" s="1989"/>
      <c r="C10" s="1989"/>
      <c r="D10" s="1989"/>
      <c r="E10" s="2885"/>
      <c r="F10" s="2885"/>
      <c r="G10" s="2885"/>
      <c r="H10" s="2885"/>
      <c r="I10" s="2912"/>
      <c r="J10" s="2912"/>
      <c r="K10" s="2882"/>
      <c r="L10" s="1990"/>
      <c r="P10" s="2883"/>
      <c r="Q10" s="2883"/>
      <c r="R10" s="2973"/>
      <c r="S10" s="2968"/>
      <c r="T10" s="2987"/>
      <c r="U10" s="926"/>
      <c r="V10" s="2019"/>
      <c r="W10" s="2122"/>
      <c r="X10" s="2019"/>
      <c r="Y10" s="2122"/>
      <c r="Z10" s="2019"/>
      <c r="AA10" s="2019"/>
      <c r="AB10" s="2019"/>
      <c r="AC10" s="2019"/>
      <c r="AD10" s="2812"/>
      <c r="AE10" s="2952"/>
      <c r="AF10" s="2831"/>
      <c r="AG10" s="2989"/>
      <c r="AH10" s="2733"/>
      <c r="AI10" s="2952"/>
      <c r="AJ10" s="2831"/>
      <c r="AK10" s="2953"/>
      <c r="AL10" s="2733"/>
      <c r="AM10" s="942"/>
      <c r="AN10" s="2126"/>
      <c r="AO10" s="2126" t="s">
        <v>521</v>
      </c>
      <c r="AP10" s="1042"/>
      <c r="AQ10" s="1042"/>
      <c r="AR10" s="1042"/>
      <c r="AS10" s="2019"/>
      <c r="AT10" s="2019"/>
      <c r="AU10" s="2122"/>
      <c r="AV10" s="2019"/>
      <c r="AW10" s="2122"/>
      <c r="AX10" s="2019"/>
      <c r="AY10" s="2019"/>
      <c r="AZ10" s="2019"/>
      <c r="BA10" s="2019"/>
      <c r="BB10" s="2023"/>
      <c r="BC10" s="2880"/>
      <c r="BE10" s="1126"/>
      <c r="BF10" s="1126"/>
      <c r="BG10" s="1126"/>
      <c r="BH10" s="1126"/>
      <c r="BI10" s="1781">
        <v>0</v>
      </c>
    </row>
    <row customHeight="1" ht="11.25" hidden="1">
      <c r="A11" s="1989"/>
      <c r="B11" s="1989"/>
      <c r="C11" s="1989"/>
      <c r="D11" s="1989"/>
      <c r="E11" s="2885"/>
      <c r="F11" s="2885"/>
      <c r="G11" s="2885"/>
      <c r="H11" s="2885"/>
      <c r="I11" s="2912"/>
      <c r="J11" s="2912"/>
      <c r="K11" s="2882"/>
      <c r="L11" s="1990"/>
      <c r="P11" s="2883"/>
      <c r="Q11" s="2883"/>
      <c r="R11" s="2973"/>
      <c r="S11" s="2968"/>
      <c r="T11" s="2987"/>
      <c r="U11" s="926"/>
      <c r="V11" s="2019"/>
      <c r="W11" s="2122"/>
      <c r="X11" s="2019"/>
      <c r="Y11" s="2122"/>
      <c r="Z11" s="2019"/>
      <c r="AA11" s="2019"/>
      <c r="AB11" s="2019"/>
      <c r="AC11" s="2019"/>
      <c r="AD11" s="2812"/>
      <c r="AE11" s="2952"/>
      <c r="AF11" s="2831"/>
      <c r="AG11" s="2989"/>
      <c r="AH11" s="2733"/>
      <c r="AI11" s="920"/>
      <c r="AJ11" s="1041"/>
      <c r="AK11" s="939" t="s">
        <v>522</v>
      </c>
      <c r="AL11" s="2019"/>
      <c r="AM11" s="2019"/>
      <c r="AN11" s="2019"/>
      <c r="AO11" s="2019"/>
      <c r="AP11" s="2019"/>
      <c r="AQ11" s="2019"/>
      <c r="AR11" s="2019"/>
      <c r="AS11" s="2019"/>
      <c r="AT11" s="2019"/>
      <c r="AU11" s="2122"/>
      <c r="AV11" s="2019"/>
      <c r="AW11" s="2122"/>
      <c r="AX11" s="2019"/>
      <c r="AY11" s="2019"/>
      <c r="AZ11" s="2019"/>
      <c r="BA11" s="2019"/>
      <c r="BB11" s="2023"/>
      <c r="BC11" s="2880"/>
      <c r="BE11" s="1126"/>
      <c r="BF11" s="1126"/>
      <c r="BG11" s="1126"/>
      <c r="BH11" s="1126"/>
      <c r="BI11" s="1781">
        <v>0</v>
      </c>
    </row>
    <row customHeight="1" ht="11.25" hidden="1">
      <c r="A12" s="1989"/>
      <c r="B12" s="1989"/>
      <c r="C12" s="1989"/>
      <c r="D12" s="1989"/>
      <c r="E12" s="2885"/>
      <c r="F12" s="2885"/>
      <c r="G12" s="2885"/>
      <c r="H12" s="2885"/>
      <c r="I12" s="2912"/>
      <c r="J12" s="2912"/>
      <c r="K12" s="2882"/>
      <c r="L12" s="1990"/>
      <c r="P12" s="2883"/>
      <c r="Q12" s="2883"/>
      <c r="R12" s="2973"/>
      <c r="S12" s="2969"/>
      <c r="T12" s="2988"/>
      <c r="U12" s="926"/>
      <c r="V12" s="2019"/>
      <c r="W12" s="2020" t="str">
        <f>Z8&amp;"-"&amp;AB8</f>
        <v>-</v>
      </c>
      <c r="X12" s="2019"/>
      <c r="Y12" s="2020" t="str">
        <f>AB8&amp;"-"&amp;AD8</f>
        <v>-да</v>
      </c>
      <c r="Z12" s="2019"/>
      <c r="AA12" s="2019"/>
      <c r="AB12" s="2019"/>
      <c r="AC12" s="2019"/>
      <c r="AD12" s="2738"/>
      <c r="AE12" s="938"/>
      <c r="AF12" s="940"/>
      <c r="AG12" s="1042" t="s">
        <v>523</v>
      </c>
      <c r="AH12" s="2019"/>
      <c r="AI12" s="2019"/>
      <c r="AJ12" s="2019"/>
      <c r="AK12" s="2019"/>
      <c r="AL12" s="2019"/>
      <c r="AM12" s="2019"/>
      <c r="AN12" s="2019"/>
      <c r="AO12" s="2019"/>
      <c r="AP12" s="2019"/>
      <c r="AQ12" s="2019"/>
      <c r="AR12" s="2019"/>
      <c r="AS12" s="2019"/>
      <c r="AT12" s="2019"/>
      <c r="AU12" s="2020" t="str">
        <f>AX8&amp;"-"&amp;AZ8</f>
        <v>-</v>
      </c>
      <c r="AV12" s="2019"/>
      <c r="AW12" s="2020" t="str">
        <f>AZ8&amp;"-"&amp;BB8</f>
        <v>-</v>
      </c>
      <c r="AX12" s="2019"/>
      <c r="AY12" s="2019"/>
      <c r="AZ12" s="2019"/>
      <c r="BA12" s="2019"/>
      <c r="BB12" s="2022" t="str">
        <f>BE8&amp;"-"&amp;BG8</f>
        <v>-</v>
      </c>
      <c r="BC12" s="2880"/>
      <c r="BE12" s="1126"/>
      <c r="BF12" s="1126" t="str">
        <f>IF(T12="","",T12)</f>
        <v/>
      </c>
      <c r="BG12" s="1126"/>
      <c r="BH12" s="1126"/>
      <c r="BI12" s="1781">
        <v>0</v>
      </c>
    </row>
    <row customHeight="1" ht="11.25" hidden="1">
      <c r="A13" s="1989"/>
      <c r="B13" s="1989"/>
      <c r="C13" s="1989"/>
      <c r="D13" s="1989"/>
      <c r="E13" s="2885"/>
      <c r="F13" s="2885"/>
      <c r="G13" s="2885"/>
      <c r="H13" s="2885"/>
      <c r="I13" s="2912"/>
      <c r="J13" s="2882"/>
      <c r="K13" s="1989"/>
      <c r="L13" s="1990"/>
      <c r="P13" s="2883"/>
      <c r="Q13" s="2883"/>
      <c r="R13" s="982"/>
      <c r="S13" s="1904"/>
      <c r="T13" s="913" t="s">
        <v>486</v>
      </c>
      <c r="U13" s="993"/>
      <c r="V13" s="993"/>
      <c r="W13" s="993"/>
      <c r="X13" s="993"/>
      <c r="Y13" s="993"/>
      <c r="Z13" s="993"/>
      <c r="AA13" s="993"/>
      <c r="AB13" s="993"/>
      <c r="AC13" s="993"/>
      <c r="AD13" s="2131"/>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50"/>
      <c r="BC13" s="2881"/>
      <c r="BE13" s="1126"/>
      <c r="BF13" s="1126" t="str">
        <f>IF(T13="","",T13)</f>
        <v>Добавить строку</v>
      </c>
      <c r="BG13" s="1126"/>
      <c r="BH13" s="1126"/>
      <c r="BI13" s="1781">
        <v>0</v>
      </c>
    </row>
    <row s="34658" customFormat="1" customHeight="1" ht="14.25" hidden="1">
      <c r="A14" s="1969"/>
      <c r="B14" s="1969"/>
      <c r="C14" s="1969"/>
      <c r="D14" s="1969"/>
      <c r="E14" s="2885"/>
      <c r="F14" s="2885"/>
      <c r="G14" s="2885"/>
      <c r="H14" s="2885"/>
      <c r="I14" s="2882"/>
      <c r="J14" s="1969"/>
      <c r="K14" s="1969"/>
      <c r="L14" s="1972"/>
      <c r="M14" s="1136"/>
      <c r="N14" s="1136"/>
      <c r="O14" s="1136"/>
      <c r="P14" s="2883"/>
      <c r="Q14" s="2088"/>
      <c r="R14" s="982"/>
      <c r="S14" s="2012"/>
      <c r="T14" s="2013"/>
      <c r="U14" s="2014"/>
      <c r="V14" s="2014"/>
      <c r="W14" s="2014"/>
      <c r="X14" s="2014"/>
      <c r="Y14" s="2014"/>
      <c r="Z14" s="2014"/>
      <c r="AA14" s="2014"/>
      <c r="AB14" s="2014"/>
      <c r="AC14" s="2014"/>
      <c r="AD14" s="2014"/>
      <c r="AE14" s="2014"/>
      <c r="AF14" s="2014"/>
      <c r="AG14" s="2014"/>
      <c r="AH14" s="2014"/>
      <c r="AI14" s="2014"/>
      <c r="AJ14" s="2014"/>
      <c r="AK14" s="2014"/>
      <c r="AL14" s="2014"/>
      <c r="AM14" s="2014"/>
      <c r="AN14" s="2014"/>
      <c r="AO14" s="2014"/>
      <c r="AP14" s="2014"/>
      <c r="AQ14" s="2014"/>
      <c r="AR14" s="2014"/>
      <c r="AS14" s="2014"/>
      <c r="AT14" s="2014"/>
      <c r="AU14" s="2014"/>
      <c r="AV14" s="2014"/>
      <c r="AW14" s="2014"/>
      <c r="AX14" s="2014"/>
      <c r="AY14" s="2014"/>
      <c r="AZ14" s="2014"/>
      <c r="BA14" s="2014"/>
      <c r="BB14" s="2014"/>
      <c r="BC14" s="2015"/>
      <c r="BE14" s="1126"/>
      <c r="BF14" s="1126" t="str">
        <f>IF(T14="","",T14)</f>
        <v/>
      </c>
      <c r="BG14" s="1126"/>
      <c r="BH14" s="1126"/>
      <c r="BI14" s="1137">
        <v>0</v>
      </c>
    </row>
    <row s="34658" customFormat="1" customHeight="1" ht="14.25" hidden="1">
      <c r="A15" s="1969"/>
      <c r="B15" s="1969"/>
      <c r="C15" s="1969"/>
      <c r="D15" s="1969"/>
      <c r="E15" s="2885"/>
      <c r="F15" s="2885"/>
      <c r="G15" s="2885"/>
      <c r="H15" s="2884"/>
      <c r="I15" s="1969"/>
      <c r="J15" s="1969"/>
      <c r="K15" s="1969"/>
      <c r="L15" s="1972"/>
      <c r="M15" s="1941"/>
      <c r="N15" s="1941"/>
      <c r="O15" s="1144"/>
      <c r="P15" s="1006"/>
      <c r="Q15" s="1970"/>
      <c r="R15" s="2027"/>
      <c r="S15" s="2012"/>
      <c r="T15" s="2013"/>
      <c r="U15" s="2014"/>
      <c r="V15" s="2014"/>
      <c r="W15" s="2014"/>
      <c r="X15" s="2014"/>
      <c r="Y15" s="2014"/>
      <c r="Z15" s="2014"/>
      <c r="AA15" s="2014"/>
      <c r="AB15" s="2014"/>
      <c r="AC15" s="2014"/>
      <c r="AD15" s="2014"/>
      <c r="AE15" s="2014"/>
      <c r="AF15" s="2014"/>
      <c r="AG15" s="2014"/>
      <c r="AH15" s="2014"/>
      <c r="AI15" s="2014"/>
      <c r="AJ15" s="2014"/>
      <c r="AK15" s="2014"/>
      <c r="AL15" s="2014"/>
      <c r="AM15" s="2014"/>
      <c r="AN15" s="2014"/>
      <c r="AO15" s="2014"/>
      <c r="AP15" s="2014"/>
      <c r="AQ15" s="2014"/>
      <c r="AR15" s="2014"/>
      <c r="AS15" s="2014"/>
      <c r="AT15" s="2014"/>
      <c r="AU15" s="2014"/>
      <c r="AV15" s="2014"/>
      <c r="AW15" s="2014"/>
      <c r="AX15" s="2014"/>
      <c r="AY15" s="2014"/>
      <c r="AZ15" s="2014"/>
      <c r="BA15" s="2014"/>
      <c r="BB15" s="2014"/>
      <c r="BC15" s="2015"/>
      <c r="BE15" s="1126"/>
      <c r="BF15" s="1126" t="str">
        <f>IF(T15="","",T15)</f>
        <v/>
      </c>
      <c r="BG15" s="1126"/>
      <c r="BH15" s="1126"/>
      <c r="BI15" s="1137">
        <v>0</v>
      </c>
    </row>
    <row s="34658" customFormat="1" customHeight="1" ht="14.25" hidden="1">
      <c r="A16" s="1969"/>
      <c r="B16" s="1969"/>
      <c r="C16" s="1969"/>
      <c r="D16" s="1940"/>
      <c r="E16" s="2885"/>
      <c r="F16" s="2885"/>
      <c r="G16" s="2884"/>
      <c r="H16" s="1940"/>
      <c r="I16" s="1940"/>
      <c r="J16" s="1940"/>
      <c r="K16" s="1940"/>
      <c r="L16" s="2090"/>
      <c r="M16" s="1941"/>
      <c r="N16" s="1941"/>
      <c r="P16" s="1942"/>
      <c r="Q16" s="1943"/>
      <c r="R16" s="1942"/>
      <c r="S16" s="1948"/>
      <c r="T16" s="1951"/>
      <c r="U16" s="1950"/>
      <c r="V16" s="1950"/>
      <c r="W16" s="1950"/>
      <c r="X16" s="1950"/>
      <c r="Y16" s="1950"/>
      <c r="Z16" s="1950"/>
      <c r="AA16" s="1950"/>
      <c r="AB16" s="1950"/>
      <c r="AC16" s="1950"/>
      <c r="AD16" s="1950"/>
      <c r="AE16" s="1950"/>
      <c r="AF16" s="1950"/>
      <c r="AG16" s="1950"/>
      <c r="AH16" s="1950"/>
      <c r="AI16" s="1950"/>
      <c r="AJ16" s="1950"/>
      <c r="AK16" s="1950"/>
      <c r="AL16" s="1950"/>
      <c r="AM16" s="1950"/>
      <c r="AN16" s="1950"/>
      <c r="AO16" s="1950"/>
      <c r="AP16" s="1950"/>
      <c r="AQ16" s="1950"/>
      <c r="AR16" s="1950"/>
      <c r="AS16" s="1950"/>
      <c r="AT16" s="1950"/>
      <c r="AU16" s="1950"/>
      <c r="AV16" s="1950"/>
      <c r="AW16" s="1950"/>
      <c r="AX16" s="1950"/>
      <c r="AY16" s="1950"/>
      <c r="AZ16" s="1950"/>
      <c r="BA16" s="1950"/>
      <c r="BB16" s="1950"/>
      <c r="BC16" s="1950"/>
      <c r="BE16" s="1415"/>
      <c r="BF16" s="1415" t="str">
        <f>IF(T16="","",T16)</f>
        <v/>
      </c>
      <c r="BG16" s="1415"/>
      <c r="BH16" s="1415"/>
      <c r="BI16" s="1144">
        <v>0</v>
      </c>
    </row>
    <row s="34658" customFormat="1" customHeight="1" ht="14.25" hidden="1">
      <c r="A17" s="1969"/>
      <c r="B17" s="1969"/>
      <c r="C17" s="1940"/>
      <c r="D17" s="1940"/>
      <c r="E17" s="2885"/>
      <c r="F17" s="2884"/>
      <c r="G17" s="1940"/>
      <c r="H17" s="1940"/>
      <c r="I17" s="1940"/>
      <c r="J17" s="1940"/>
      <c r="K17" s="1940"/>
      <c r="L17" s="2090"/>
      <c r="M17" s="1947"/>
      <c r="N17" s="1947"/>
      <c r="P17" s="1942"/>
      <c r="Q17" s="1943"/>
      <c r="R17" s="1942"/>
      <c r="S17" s="1948"/>
      <c r="T17" s="1951" t="s">
        <v>433</v>
      </c>
      <c r="U17" s="1950"/>
      <c r="V17" s="1950"/>
      <c r="W17" s="1950"/>
      <c r="X17" s="1950"/>
      <c r="Y17" s="1950"/>
      <c r="Z17" s="1950"/>
      <c r="AA17" s="1950"/>
      <c r="AB17" s="1950"/>
      <c r="AC17" s="1950"/>
      <c r="AD17" s="1950"/>
      <c r="AE17" s="1950"/>
      <c r="AF17" s="1950"/>
      <c r="AG17" s="1950"/>
      <c r="AH17" s="1950"/>
      <c r="AI17" s="1950"/>
      <c r="AJ17" s="1950"/>
      <c r="AK17" s="1950"/>
      <c r="AL17" s="1950"/>
      <c r="AM17" s="1950"/>
      <c r="AN17" s="1950"/>
      <c r="AO17" s="1950"/>
      <c r="AP17" s="1950"/>
      <c r="AQ17" s="1950"/>
      <c r="AR17" s="1950"/>
      <c r="AS17" s="1950"/>
      <c r="AT17" s="1950"/>
      <c r="AU17" s="1950"/>
      <c r="AV17" s="1950"/>
      <c r="AW17" s="1950"/>
      <c r="AX17" s="1950"/>
      <c r="AY17" s="1950"/>
      <c r="AZ17" s="1950"/>
      <c r="BA17" s="1950"/>
      <c r="BB17" s="1950"/>
      <c r="BC17" s="1950"/>
      <c r="BE17" s="1415"/>
      <c r="BF17" s="1415" t="str">
        <f>IF(T17="","",T17)</f>
        <v>Добавить централизованную систему для дифференциации</v>
      </c>
      <c r="BG17" s="1415"/>
      <c r="BH17" s="1415"/>
      <c r="BI17" s="1144">
        <v>0</v>
      </c>
    </row>
    <row s="34658" customFormat="1" customHeight="1" ht="14.25" hidden="1">
      <c r="A18" s="1969"/>
      <c r="B18" s="1969"/>
      <c r="C18" s="1969"/>
      <c r="D18" s="1969"/>
      <c r="E18" s="2884"/>
      <c r="F18" s="1969"/>
      <c r="G18" s="1969"/>
      <c r="H18" s="1969"/>
      <c r="I18" s="1969"/>
      <c r="J18" s="1969"/>
      <c r="K18" s="1969"/>
      <c r="L18" s="1972"/>
      <c r="M18" s="1947"/>
      <c r="N18" s="1947"/>
      <c r="O18" s="1144"/>
      <c r="P18" s="1006"/>
      <c r="Q18" s="1970"/>
      <c r="R18" s="1006"/>
      <c r="S18" s="1948"/>
      <c r="T18" s="1951" t="s">
        <v>434</v>
      </c>
      <c r="U18" s="1950"/>
      <c r="V18" s="1950"/>
      <c r="W18" s="1950"/>
      <c r="X18" s="1950"/>
      <c r="Y18" s="1950"/>
      <c r="Z18" s="1950"/>
      <c r="AA18" s="1950"/>
      <c r="AB18" s="1950"/>
      <c r="AC18" s="1950"/>
      <c r="AD18" s="1950"/>
      <c r="AE18" s="1950"/>
      <c r="AF18" s="1950"/>
      <c r="AG18" s="1950"/>
      <c r="AH18" s="1950"/>
      <c r="AI18" s="1950"/>
      <c r="AJ18" s="1950"/>
      <c r="AK18" s="1950"/>
      <c r="AL18" s="1950"/>
      <c r="AM18" s="1950"/>
      <c r="AN18" s="1950"/>
      <c r="AO18" s="1950"/>
      <c r="AP18" s="1950"/>
      <c r="AQ18" s="1950"/>
      <c r="AR18" s="1950"/>
      <c r="AS18" s="1950"/>
      <c r="AT18" s="1950"/>
      <c r="AU18" s="1950"/>
      <c r="AV18" s="1950"/>
      <c r="AW18" s="1950"/>
      <c r="AX18" s="1950"/>
      <c r="AY18" s="1950"/>
      <c r="AZ18" s="1950"/>
      <c r="BA18" s="1950"/>
      <c r="BB18" s="1950"/>
      <c r="BC18" s="1950"/>
      <c r="BE18" s="1126"/>
      <c r="BF18" s="1126" t="str">
        <f>IF(T18="","",T18)</f>
        <v>Добавить территорию для дифференциации</v>
      </c>
      <c r="BG18" s="1126"/>
      <c r="BH18" s="1126"/>
      <c r="BI18" s="1137">
        <v>0</v>
      </c>
    </row>
    <row customHeight="1" ht="14.25" hidden="1">
      <c r="AC19" s="953"/>
      <c r="BA19" s="953"/>
      <c r="BI19" s="1781">
        <v>0</v>
      </c>
    </row>
    <row customHeight="1" ht="14.25" hidden="1">
      <c r="AD20" s="1950" t="s">
        <v>19</v>
      </c>
      <c r="AE20" s="2127"/>
      <c r="AF20" s="1174">
        <v>1</v>
      </c>
      <c r="AG20" s="2128"/>
      <c r="AH20" s="1950" t="s">
        <v>19</v>
      </c>
      <c r="AI20" s="2127"/>
      <c r="AJ20" s="1174">
        <v>1</v>
      </c>
      <c r="AK20" s="2128"/>
      <c r="AL20" s="1950" t="s">
        <v>19</v>
      </c>
      <c r="AM20" s="2129"/>
      <c r="AN20" s="1174">
        <v>1</v>
      </c>
      <c r="AO20" s="2130"/>
      <c r="AP20" s="1950" t="s">
        <v>19</v>
      </c>
      <c r="AQ20" s="2129"/>
      <c r="AR20" s="1174">
        <v>1</v>
      </c>
      <c r="AS20" s="2130"/>
      <c r="AT20" s="951"/>
      <c r="AU20" s="1010"/>
      <c r="AV20" s="951"/>
      <c r="AW20" s="1010"/>
      <c r="AX20" s="2362"/>
      <c r="AY20" s="2086" t="s">
        <v>66</v>
      </c>
      <c r="AZ20" s="2362"/>
      <c r="BA20" s="2086" t="s">
        <v>66</v>
      </c>
      <c r="BI20" s="1781">
        <v>0</v>
      </c>
    </row>
    <row customHeight="1" ht="14.25" hidden="1">
      <c r="BD21" s="1122"/>
      <c r="BE21" s="1122"/>
      <c r="BF21" s="1122"/>
      <c r="BG21" s="1122"/>
      <c r="BH21" s="1122"/>
      <c r="BI21" s="1781">
        <v>0</v>
      </c>
    </row>
    <row customHeight="1" ht="14.25" hidden="1">
      <c r="O22" s="1993" t="s">
        <v>435</v>
      </c>
      <c r="Z22" s="1971"/>
      <c r="AB22" s="1971"/>
      <c r="AC22" s="953"/>
      <c r="AX22" s="1971"/>
      <c r="AZ22" s="1971"/>
      <c r="BA22" s="953"/>
      <c r="BD22" s="1122"/>
      <c r="BE22" s="1122"/>
      <c r="BF22" s="1122"/>
      <c r="BG22" s="1122"/>
      <c r="BH22" s="1122"/>
      <c r="BI22" s="1781">
        <v>0</v>
      </c>
    </row>
    <row customHeight="1" ht="14.25" hidden="1">
      <c r="AC23" s="953"/>
      <c r="BA23" s="953"/>
      <c r="BD23" s="1122"/>
      <c r="BE23" s="1122"/>
      <c r="BF23" s="1122"/>
      <c r="BG23" s="1122"/>
      <c r="BH23" s="1122"/>
      <c r="BI23" s="1781">
        <v>0</v>
      </c>
    </row>
    <row s="35596" customFormat="1" customHeight="1" ht="14.25" hidden="1">
      <c r="M24" s="2134"/>
      <c r="N24" s="2134"/>
      <c r="O24" s="2135" t="s">
        <v>436</v>
      </c>
      <c r="P24" s="2134"/>
      <c r="Q24" s="2136"/>
      <c r="R24" s="2136"/>
      <c r="AA24" s="2133" t="s">
        <v>438</v>
      </c>
      <c r="AC24" s="2133" t="s">
        <v>439</v>
      </c>
      <c r="AD24" s="2133" t="s">
        <v>487</v>
      </c>
      <c r="AH24" s="2133" t="s">
        <v>487</v>
      </c>
      <c r="AK24" s="2133" t="s">
        <v>524</v>
      </c>
      <c r="AL24" s="2133" t="s">
        <v>487</v>
      </c>
      <c r="AP24" s="2133" t="s">
        <v>487</v>
      </c>
      <c r="AY24" s="2133" t="s">
        <v>438</v>
      </c>
      <c r="BA24" s="2133" t="s">
        <v>439</v>
      </c>
      <c r="BD24" s="2137"/>
      <c r="BE24" s="2137"/>
      <c r="BF24" s="2137"/>
      <c r="BG24" s="2137"/>
      <c r="BH24" s="2137"/>
      <c r="BI24" s="2133">
        <v>0</v>
      </c>
    </row>
    <row customHeight="1" ht="14.25" hidden="1">
      <c r="O25" s="1990"/>
      <c r="BD25" s="1122"/>
      <c r="BE25" s="1122"/>
      <c r="BF25" s="1122"/>
      <c r="BG25" s="1122"/>
      <c r="BH25" s="1122"/>
      <c r="BI25" s="1781">
        <v>0</v>
      </c>
    </row>
    <row customHeight="1" ht="14.25" hidden="1">
      <c r="O26" s="1990"/>
      <c r="BD26" s="1122"/>
      <c r="BE26" s="1122"/>
      <c r="BF26" s="1122"/>
      <c r="BG26" s="1122"/>
      <c r="BH26" s="1122"/>
      <c r="BI26" s="1781">
        <v>0</v>
      </c>
    </row>
    <row customHeight="1" ht="14.699999999999998">
      <c r="Q27" s="917"/>
      <c r="R27" s="1002"/>
      <c r="S27" s="1901"/>
      <c r="T27" s="989"/>
      <c r="U27" s="989"/>
      <c r="V27" s="1135"/>
      <c r="W27" s="1135"/>
      <c r="X27" s="1135"/>
      <c r="Y27" s="1135"/>
      <c r="Z27" s="1135"/>
      <c r="AA27" s="1135"/>
      <c r="AB27" s="1135"/>
      <c r="AC27" s="1135"/>
      <c r="AD27" s="1135"/>
      <c r="AE27" s="1135"/>
      <c r="AF27" s="1135"/>
      <c r="AG27" s="1135"/>
      <c r="AH27" s="1135"/>
      <c r="AI27" s="1135"/>
      <c r="AJ27" s="1135"/>
      <c r="AK27" s="1135"/>
      <c r="AL27" s="1135"/>
      <c r="AM27" s="1135"/>
      <c r="AN27" s="1135"/>
      <c r="AO27" s="1135"/>
      <c r="AP27" s="1135"/>
      <c r="AQ27" s="1135"/>
      <c r="AR27" s="1135"/>
      <c r="AS27" s="1135"/>
      <c r="AT27" s="1135"/>
      <c r="AU27" s="1135"/>
      <c r="AV27" s="1135"/>
      <c r="AW27" s="1135"/>
      <c r="AX27" s="1135"/>
      <c r="AY27" s="1135"/>
      <c r="AZ27" s="1135"/>
      <c r="BA27" s="1135"/>
      <c r="BI27" s="1781">
        <v>14</v>
      </c>
    </row>
    <row customHeight="1" ht="14.699999999999998">
      <c r="Q28" s="917"/>
      <c r="R28" s="1002"/>
      <c r="S28" s="28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2874"/>
      <c r="AT28" s="2874"/>
      <c r="AU28" s="2874"/>
      <c r="AV28" s="2874"/>
      <c r="AW28" s="2874"/>
      <c r="AX28" s="2874"/>
      <c r="AY28" s="2874"/>
      <c r="AZ28" s="2874"/>
      <c r="BA28" s="1869"/>
      <c r="BI28" s="1781">
        <v>14</v>
      </c>
    </row>
    <row customHeight="1" ht="14.699999999999998">
      <c r="Q29" s="917"/>
      <c r="R29" s="1002"/>
      <c r="S29" s="2875" t="str">
        <f>IF(org=0,"Не определено",org)</f>
        <v>АО "ДГК"</v>
      </c>
      <c r="T29" s="2875"/>
      <c r="U29" s="2875"/>
      <c r="V29" s="2875"/>
      <c r="W29" s="2875"/>
      <c r="X29" s="2875"/>
      <c r="Y29" s="2875"/>
      <c r="Z29" s="2875"/>
      <c r="AA29" s="2875"/>
      <c r="AB29" s="2875"/>
      <c r="AC29" s="2875"/>
      <c r="AD29" s="2875"/>
      <c r="AE29" s="2875"/>
      <c r="AF29" s="2875"/>
      <c r="AG29" s="2875"/>
      <c r="AH29" s="2875"/>
      <c r="AI29" s="2875"/>
      <c r="AJ29" s="2875"/>
      <c r="AK29" s="2875"/>
      <c r="AL29" s="2875"/>
      <c r="AM29" s="2875"/>
      <c r="AN29" s="2875"/>
      <c r="AO29" s="2875"/>
      <c r="AP29" s="2875"/>
      <c r="AQ29" s="2875"/>
      <c r="AR29" s="2875"/>
      <c r="AS29" s="2875"/>
      <c r="AT29" s="2875"/>
      <c r="AU29" s="2875"/>
      <c r="AV29" s="2875"/>
      <c r="AW29" s="2875"/>
      <c r="AX29" s="2875"/>
      <c r="AY29" s="2875"/>
      <c r="AZ29" s="2875"/>
      <c r="BA29" s="1869"/>
      <c r="BI29" s="1781">
        <v>14</v>
      </c>
    </row>
    <row customHeight="1" ht="14.25" hidden="1">
      <c r="Q30" s="917"/>
      <c r="R30" s="1002"/>
      <c r="S30" s="1901"/>
      <c r="T30" s="989"/>
      <c r="U30" s="989"/>
      <c r="V30" s="948"/>
      <c r="W30" s="948"/>
      <c r="X30" s="948"/>
      <c r="Y30" s="948"/>
      <c r="Z30" s="948"/>
      <c r="AA30" s="948"/>
      <c r="AB30" s="948"/>
      <c r="AC30" s="948"/>
      <c r="AD30" s="948"/>
      <c r="AE30" s="948"/>
      <c r="AF30" s="948"/>
      <c r="AG30" s="948"/>
      <c r="AH30" s="948"/>
      <c r="AI30" s="948"/>
      <c r="AJ30" s="948"/>
      <c r="AK30" s="948"/>
      <c r="AL30" s="948"/>
      <c r="AM30" s="948"/>
      <c r="AN30" s="948"/>
      <c r="AO30" s="948"/>
      <c r="AP30" s="948"/>
      <c r="AQ30" s="948"/>
      <c r="AR30" s="948"/>
      <c r="AS30" s="948"/>
      <c r="AT30" s="948"/>
      <c r="AU30" s="948"/>
      <c r="AV30" s="948"/>
      <c r="AW30" s="948"/>
      <c r="AX30" s="948"/>
      <c r="AY30" s="948"/>
      <c r="AZ30" s="948"/>
      <c r="BA30" s="948"/>
      <c r="BB30" s="1135"/>
      <c r="BI30" s="1781">
        <v>0</v>
      </c>
    </row>
    <row s="34794" customFormat="1" customHeight="1" ht="25.5" hidden="1">
      <c r="A31" s="1994"/>
      <c r="B31" s="1994"/>
      <c r="C31" s="1994"/>
      <c r="D31" s="1994"/>
      <c r="E31" s="1994"/>
      <c r="F31" s="1994"/>
      <c r="G31" s="1994"/>
      <c r="H31" s="1994"/>
      <c r="I31" s="1994"/>
      <c r="J31" s="1994"/>
      <c r="K31" s="1994"/>
      <c r="L31" s="1995"/>
      <c r="M31" s="1994"/>
      <c r="N31" s="1994"/>
      <c r="O31" s="1994"/>
      <c r="P31" s="1994"/>
      <c r="Q31" s="1994"/>
      <c r="S31" s="2876" t="s">
        <v>42</v>
      </c>
      <c r="T31" s="2876"/>
      <c r="U31" s="1998"/>
      <c r="V31" s="2877" t="str">
        <f>IF(TITLE_NAME_OR_PR_CHANGE="",IF(TITLE_NAME_OR_PR="","",TITLE_NAME_OR_PR),TITLE_NAME_OR_PR_CHANGE)</f>
        <v/>
      </c>
      <c r="W31" s="2877"/>
      <c r="X31" s="2877"/>
      <c r="Y31" s="2877"/>
      <c r="Z31" s="2877"/>
      <c r="AA31" s="2877"/>
      <c r="AB31" s="2877"/>
      <c r="AC31" s="952"/>
      <c r="AD31" s="2877" t="str">
        <f>IF(TITLE_NAME_OR_PR_CHANGE="",IF(TITLE_NAME_OR_PR="","",TITLE_NAME_OR_PR),TITLE_NAME_OR_PR_CHANGE)</f>
        <v/>
      </c>
      <c r="AE31" s="2877"/>
      <c r="AF31" s="2877"/>
      <c r="AG31" s="2877"/>
      <c r="AH31" s="2877"/>
      <c r="AI31" s="2877"/>
      <c r="AJ31" s="2877"/>
      <c r="AK31" s="2877"/>
      <c r="AL31" s="2877"/>
      <c r="AM31" s="2877"/>
      <c r="AN31" s="2877"/>
      <c r="AO31" s="2877"/>
      <c r="AP31" s="2877"/>
      <c r="AQ31" s="2877"/>
      <c r="AR31" s="2877"/>
      <c r="AS31" s="2877"/>
      <c r="AT31" s="2877"/>
      <c r="AU31" s="2877"/>
      <c r="AV31" s="2877"/>
      <c r="AW31" s="2877"/>
      <c r="AX31" s="2877"/>
      <c r="AY31" s="2877"/>
      <c r="AZ31" s="2877"/>
      <c r="BA31" s="952"/>
      <c r="BB31" s="952"/>
      <c r="BC31" s="906"/>
      <c r="BD31" s="994"/>
      <c r="BE31" s="994"/>
      <c r="BF31" s="994"/>
      <c r="BG31" s="994"/>
      <c r="BH31" s="994"/>
      <c r="BI31" s="1044">
        <v>0</v>
      </c>
    </row>
    <row s="34794" customFormat="1" customHeight="1" ht="18.75" hidden="1">
      <c r="A32" s="1994"/>
      <c r="B32" s="1994"/>
      <c r="C32" s="1994"/>
      <c r="D32" s="1994"/>
      <c r="E32" s="1994"/>
      <c r="F32" s="1994"/>
      <c r="G32" s="1994"/>
      <c r="H32" s="1994"/>
      <c r="I32" s="1994"/>
      <c r="J32" s="1994"/>
      <c r="K32" s="1994"/>
      <c r="L32" s="1995"/>
      <c r="M32" s="1994"/>
      <c r="N32" s="1994"/>
      <c r="O32" s="1994"/>
      <c r="P32" s="1994"/>
      <c r="Q32" s="1994"/>
      <c r="S32" s="2876" t="s">
        <v>441</v>
      </c>
      <c r="T32" s="2876"/>
      <c r="U32" s="1998"/>
      <c r="V32" s="2890" t="str">
        <f>IF(TITLE_DATE_PR_CHANGE="",IF(TITLE_DATE_PR="","",TITLE_DATE_PR),TITLE_DATE_PR_CHANGE)</f>
        <v/>
      </c>
      <c r="W32" s="2890"/>
      <c r="X32" s="2890"/>
      <c r="Y32" s="2890"/>
      <c r="Z32" s="2890"/>
      <c r="AA32" s="2890"/>
      <c r="AB32" s="2890"/>
      <c r="AC32" s="952"/>
      <c r="AD32" s="2890" t="str">
        <f>IF(TITLE_DATE_PR_CHANGE="",IF(TITLE_DATE_PR="","",TITLE_DATE_PR),TITLE_DATE_PR_CHANGE)</f>
        <v/>
      </c>
      <c r="AE32" s="2890"/>
      <c r="AF32" s="2890"/>
      <c r="AG32" s="2890"/>
      <c r="AH32" s="2890"/>
      <c r="AI32" s="2890"/>
      <c r="AJ32" s="2890"/>
      <c r="AK32" s="2890"/>
      <c r="AL32" s="2890"/>
      <c r="AM32" s="2890"/>
      <c r="AN32" s="2890"/>
      <c r="AO32" s="2890"/>
      <c r="AP32" s="2890"/>
      <c r="AQ32" s="2890"/>
      <c r="AR32" s="2890"/>
      <c r="AS32" s="2890"/>
      <c r="AT32" s="2890"/>
      <c r="AU32" s="2890"/>
      <c r="AV32" s="2890"/>
      <c r="AW32" s="2890"/>
      <c r="AX32" s="2890"/>
      <c r="AY32" s="2890"/>
      <c r="AZ32" s="2890"/>
      <c r="BA32" s="952"/>
      <c r="BB32" s="952"/>
      <c r="BC32" s="906"/>
      <c r="BD32" s="994"/>
      <c r="BE32" s="994"/>
      <c r="BF32" s="994"/>
      <c r="BG32" s="994"/>
      <c r="BH32" s="994"/>
      <c r="BI32" s="1044">
        <v>0</v>
      </c>
    </row>
    <row s="34794" customFormat="1" customHeight="1" ht="18.75" hidden="1">
      <c r="A33" s="1994"/>
      <c r="B33" s="1994"/>
      <c r="C33" s="1994"/>
      <c r="D33" s="1994"/>
      <c r="E33" s="1994"/>
      <c r="F33" s="1994"/>
      <c r="G33" s="1994"/>
      <c r="H33" s="1994"/>
      <c r="I33" s="1994"/>
      <c r="J33" s="1994"/>
      <c r="K33" s="1994"/>
      <c r="L33" s="1995"/>
      <c r="M33" s="1994"/>
      <c r="N33" s="1994"/>
      <c r="O33" s="1994"/>
      <c r="P33" s="1994"/>
      <c r="Q33" s="1994"/>
      <c r="S33" s="2876" t="s">
        <v>442</v>
      </c>
      <c r="T33" s="2876"/>
      <c r="U33" s="1998"/>
      <c r="V33" s="2877" t="str">
        <f>IF(TITLE_NUMBER_PR_CHANGE="",IF(TITLE_NUMBER_PR="","",TITLE_NUMBER_PR),TITLE_NUMBER_PR_CHANGE)</f>
        <v/>
      </c>
      <c r="W33" s="2877"/>
      <c r="X33" s="2877"/>
      <c r="Y33" s="2877"/>
      <c r="Z33" s="2877"/>
      <c r="AA33" s="2877"/>
      <c r="AB33" s="2877"/>
      <c r="AC33" s="952"/>
      <c r="AD33" s="2877" t="str">
        <f>IF(TITLE_NUMBER_PR_CHANGE="",IF(TITLE_NUMBER_PR="","",TITLE_NUMBER_PR),TITLE_NUMBER_PR_CHANGE)</f>
        <v/>
      </c>
      <c r="AE33" s="2877"/>
      <c r="AF33" s="2877"/>
      <c r="AG33" s="2877"/>
      <c r="AH33" s="2877"/>
      <c r="AI33" s="2877"/>
      <c r="AJ33" s="2877"/>
      <c r="AK33" s="2877"/>
      <c r="AL33" s="2877"/>
      <c r="AM33" s="2877"/>
      <c r="AN33" s="2877"/>
      <c r="AO33" s="2877"/>
      <c r="AP33" s="2877"/>
      <c r="AQ33" s="2877"/>
      <c r="AR33" s="2877"/>
      <c r="AS33" s="2877"/>
      <c r="AT33" s="2877"/>
      <c r="AU33" s="2877"/>
      <c r="AV33" s="2877"/>
      <c r="AW33" s="2877"/>
      <c r="AX33" s="2877"/>
      <c r="AY33" s="2877"/>
      <c r="AZ33" s="2877"/>
      <c r="BA33" s="952"/>
      <c r="BB33" s="952"/>
      <c r="BC33" s="906"/>
      <c r="BD33" s="994"/>
      <c r="BE33" s="994"/>
      <c r="BF33" s="994"/>
      <c r="BG33" s="994"/>
      <c r="BH33" s="994"/>
      <c r="BI33" s="1044">
        <v>0</v>
      </c>
    </row>
    <row s="34794" customFormat="1" customHeight="1" ht="18.75" hidden="1">
      <c r="A34" s="1994"/>
      <c r="B34" s="1994"/>
      <c r="C34" s="1994"/>
      <c r="D34" s="1994"/>
      <c r="E34" s="1994"/>
      <c r="F34" s="1994"/>
      <c r="G34" s="1994"/>
      <c r="H34" s="1994"/>
      <c r="I34" s="1994"/>
      <c r="J34" s="1994"/>
      <c r="K34" s="1994"/>
      <c r="L34" s="1995"/>
      <c r="M34" s="1994"/>
      <c r="N34" s="1994"/>
      <c r="O34" s="1994"/>
      <c r="P34" s="1994"/>
      <c r="Q34" s="1994"/>
      <c r="S34" s="2876" t="s">
        <v>43</v>
      </c>
      <c r="T34" s="2876"/>
      <c r="U34" s="1998"/>
      <c r="V34" s="2877" t="str">
        <f>IF(TITLE_IST_PUB_CHANGE="",IF(TITLE_IST_PUB="","",TITLE_IST_PUB),TITLE_IST_PUB_CHANGE)</f>
        <v/>
      </c>
      <c r="W34" s="2877"/>
      <c r="X34" s="2877"/>
      <c r="Y34" s="2877"/>
      <c r="Z34" s="2877"/>
      <c r="AA34" s="2877"/>
      <c r="AB34" s="2877"/>
      <c r="AC34" s="952"/>
      <c r="AD34" s="2877" t="str">
        <f>IF(TITLE_IST_PUB_CHANGE="",IF(TITLE_IST_PUB="","",TITLE_IST_PUB),TITLE_IST_PUB_CHANGE)</f>
        <v/>
      </c>
      <c r="AE34" s="2877"/>
      <c r="AF34" s="2877"/>
      <c r="AG34" s="2877"/>
      <c r="AH34" s="2877"/>
      <c r="AI34" s="2877"/>
      <c r="AJ34" s="2877"/>
      <c r="AK34" s="2877"/>
      <c r="AL34" s="2877"/>
      <c r="AM34" s="2877"/>
      <c r="AN34" s="2877"/>
      <c r="AO34" s="2877"/>
      <c r="AP34" s="2877"/>
      <c r="AQ34" s="2877"/>
      <c r="AR34" s="2877"/>
      <c r="AS34" s="2877"/>
      <c r="AT34" s="2877"/>
      <c r="AU34" s="2877"/>
      <c r="AV34" s="2877"/>
      <c r="AW34" s="2877"/>
      <c r="AX34" s="2877"/>
      <c r="AY34" s="2877"/>
      <c r="AZ34" s="2877"/>
      <c r="BA34" s="952"/>
      <c r="BB34" s="952"/>
      <c r="BC34" s="906"/>
      <c r="BD34" s="994"/>
      <c r="BE34" s="994"/>
      <c r="BF34" s="994"/>
      <c r="BG34" s="994"/>
      <c r="BH34" s="994"/>
      <c r="BI34" s="1044">
        <v>0</v>
      </c>
    </row>
    <row customHeight="1" ht="14.25" hidden="1">
      <c r="Q35" s="917"/>
      <c r="R35" s="1002"/>
      <c r="S35" s="1901"/>
      <c r="T35" s="989"/>
      <c r="U35" s="989"/>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c r="AU35" s="948"/>
      <c r="AV35" s="948"/>
      <c r="AW35" s="948"/>
      <c r="AX35" s="948"/>
      <c r="AY35" s="948"/>
      <c r="AZ35" s="948"/>
      <c r="BA35" s="948"/>
      <c r="BB35" s="1135"/>
      <c r="BI35" s="1781">
        <v>0</v>
      </c>
    </row>
    <row s="34794" customFormat="1" customHeight="1" ht="18.75" hidden="1">
      <c r="A36" s="1994"/>
      <c r="B36" s="1994"/>
      <c r="C36" s="1994"/>
      <c r="D36" s="1994"/>
      <c r="E36" s="1994"/>
      <c r="F36" s="1994"/>
      <c r="G36" s="1994"/>
      <c r="H36" s="1994"/>
      <c r="I36" s="1994"/>
      <c r="J36" s="1994"/>
      <c r="K36" s="1994"/>
      <c r="L36" s="1995"/>
      <c r="M36" s="1994"/>
      <c r="N36" s="1994"/>
      <c r="O36" s="1994"/>
      <c r="P36" s="1994"/>
      <c r="Q36" s="1994"/>
      <c r="S36" s="2876" t="s">
        <v>441</v>
      </c>
      <c r="T36" s="2876"/>
      <c r="U36" s="1998"/>
      <c r="V36" s="2890" t="str">
        <f>IF(TITLE_DATE_PR_CHANGE="",IF(TITLE_DATE_PR="","",TITLE_DATE_PR),TITLE_DATE_PR_CHANGE)</f>
        <v/>
      </c>
      <c r="W36" s="2890"/>
      <c r="X36" s="2890"/>
      <c r="Y36" s="2890"/>
      <c r="Z36" s="2890"/>
      <c r="AA36" s="2890"/>
      <c r="AB36" s="2890"/>
      <c r="AC36" s="952"/>
      <c r="AD36" s="2890" t="str">
        <f>IF(TITLE_DATE_PR_CHANGE="",IF(TITLE_DATE_PR="","",TITLE_DATE_PR),TITLE_DATE_PR_CHANGE)</f>
        <v/>
      </c>
      <c r="AE36" s="2890"/>
      <c r="AF36" s="2890"/>
      <c r="AG36" s="2890"/>
      <c r="AH36" s="2890"/>
      <c r="AI36" s="2890"/>
      <c r="AJ36" s="2890"/>
      <c r="AK36" s="2890"/>
      <c r="AL36" s="2890"/>
      <c r="AM36" s="2890"/>
      <c r="AN36" s="2890"/>
      <c r="AO36" s="2890"/>
      <c r="AP36" s="2890"/>
      <c r="AQ36" s="2890"/>
      <c r="AR36" s="2890"/>
      <c r="AS36" s="2890"/>
      <c r="AT36" s="2890"/>
      <c r="AU36" s="2890"/>
      <c r="AV36" s="2890"/>
      <c r="AW36" s="2890"/>
      <c r="AX36" s="2890"/>
      <c r="AY36" s="2890"/>
      <c r="AZ36" s="2890"/>
      <c r="BA36" s="952"/>
      <c r="BB36" s="952"/>
      <c r="BC36" s="906"/>
      <c r="BD36" s="994"/>
      <c r="BE36" s="994"/>
      <c r="BF36" s="994"/>
      <c r="BG36" s="994"/>
      <c r="BH36" s="994"/>
      <c r="BI36" s="1044">
        <v>0</v>
      </c>
    </row>
    <row s="34794" customFormat="1" customHeight="1" ht="18.75" hidden="1">
      <c r="A37" s="1994"/>
      <c r="B37" s="1994"/>
      <c r="C37" s="1994"/>
      <c r="D37" s="1994"/>
      <c r="E37" s="1994"/>
      <c r="F37" s="1994"/>
      <c r="G37" s="1994"/>
      <c r="H37" s="1994"/>
      <c r="I37" s="1994"/>
      <c r="J37" s="1994"/>
      <c r="K37" s="1994"/>
      <c r="L37" s="1995"/>
      <c r="M37" s="1994"/>
      <c r="N37" s="1994"/>
      <c r="O37" s="1994"/>
      <c r="P37" s="1994"/>
      <c r="Q37" s="1994"/>
      <c r="S37" s="2876" t="s">
        <v>442</v>
      </c>
      <c r="T37" s="2876"/>
      <c r="U37" s="1998"/>
      <c r="V37" s="2877" t="str">
        <f>IF(TITLE_NUMBER_PR_CHANGE="",IF(TITLE_NUMBER_PR="","",TITLE_NUMBER_PR),TITLE_NUMBER_PR_CHANGE)</f>
        <v/>
      </c>
      <c r="W37" s="2877"/>
      <c r="X37" s="2877"/>
      <c r="Y37" s="2877"/>
      <c r="Z37" s="2877"/>
      <c r="AA37" s="2877"/>
      <c r="AB37" s="2877"/>
      <c r="AC37" s="952"/>
      <c r="AD37" s="2877" t="str">
        <f>IF(TITLE_NUMBER_PR_CHANGE="",IF(TITLE_NUMBER_PR="","",TITLE_NUMBER_PR),TITLE_NUMBER_PR_CHANGE)</f>
        <v/>
      </c>
      <c r="AE37" s="2877"/>
      <c r="AF37" s="2877"/>
      <c r="AG37" s="2877"/>
      <c r="AH37" s="2877"/>
      <c r="AI37" s="2877"/>
      <c r="AJ37" s="2877"/>
      <c r="AK37" s="2877"/>
      <c r="AL37" s="2877"/>
      <c r="AM37" s="2877"/>
      <c r="AN37" s="2877"/>
      <c r="AO37" s="2877"/>
      <c r="AP37" s="2877"/>
      <c r="AQ37" s="2877"/>
      <c r="AR37" s="2877"/>
      <c r="AS37" s="2877"/>
      <c r="AT37" s="2877"/>
      <c r="AU37" s="2877"/>
      <c r="AV37" s="2877"/>
      <c r="AW37" s="2877"/>
      <c r="AX37" s="2877"/>
      <c r="AY37" s="2877"/>
      <c r="AZ37" s="2877"/>
      <c r="BA37" s="952"/>
      <c r="BB37" s="952"/>
      <c r="BC37" s="906"/>
      <c r="BD37" s="994"/>
      <c r="BE37" s="994"/>
      <c r="BF37" s="994"/>
      <c r="BG37" s="994"/>
      <c r="BH37" s="994"/>
      <c r="BI37" s="1044">
        <v>0</v>
      </c>
    </row>
    <row s="34794" customFormat="1" customHeight="1" ht="0">
      <c r="A38" s="1994"/>
      <c r="B38" s="1994"/>
      <c r="C38" s="1994"/>
      <c r="D38" s="1994"/>
      <c r="E38" s="1994"/>
      <c r="F38" s="1994"/>
      <c r="G38" s="1994"/>
      <c r="H38" s="1994"/>
      <c r="I38" s="1994"/>
      <c r="J38" s="1994"/>
      <c r="K38" s="1994"/>
      <c r="L38" s="1995"/>
      <c r="M38" s="1994"/>
      <c r="N38" s="1994"/>
      <c r="O38" s="1994"/>
      <c r="P38" s="1994"/>
      <c r="Q38" s="1994"/>
      <c r="S38" s="949"/>
      <c r="T38" s="949"/>
      <c r="U38" s="2080"/>
      <c r="V38" s="952"/>
      <c r="W38" s="952"/>
      <c r="X38" s="952"/>
      <c r="Y38" s="952"/>
      <c r="Z38" s="952"/>
      <c r="AA38" s="952"/>
      <c r="AB38" s="952"/>
      <c r="AC38" s="904" t="s">
        <v>445</v>
      </c>
      <c r="AD38" s="952"/>
      <c r="AE38" s="952"/>
      <c r="AF38" s="952"/>
      <c r="AG38" s="952"/>
      <c r="AH38" s="952"/>
      <c r="AI38" s="952"/>
      <c r="AJ38" s="952"/>
      <c r="AK38" s="952"/>
      <c r="AL38" s="952"/>
      <c r="AM38" s="952"/>
      <c r="AN38" s="952"/>
      <c r="AO38" s="952"/>
      <c r="AP38" s="952"/>
      <c r="AQ38" s="952"/>
      <c r="AR38" s="952"/>
      <c r="AS38" s="952"/>
      <c r="AT38" s="952"/>
      <c r="AU38" s="952"/>
      <c r="AV38" s="952"/>
      <c r="AW38" s="952"/>
      <c r="AX38" s="952"/>
      <c r="AY38" s="952"/>
      <c r="AZ38" s="952"/>
      <c r="BA38" s="904" t="s">
        <v>445</v>
      </c>
      <c r="BD38" s="994"/>
      <c r="BE38" s="994"/>
      <c r="BF38" s="994"/>
      <c r="BG38" s="994"/>
      <c r="BH38" s="994"/>
      <c r="BI38" s="1044">
        <v>0</v>
      </c>
    </row>
    <row customHeight="1" ht="14.699999999999998">
      <c r="Q39" s="917"/>
      <c r="R39" s="1002"/>
      <c r="S39" s="1901"/>
      <c r="T39" s="989"/>
      <c r="U39" s="1870"/>
      <c r="V39" s="2878"/>
      <c r="W39" s="2878"/>
      <c r="X39" s="2878"/>
      <c r="Y39" s="2878"/>
      <c r="Z39" s="2878"/>
      <c r="AA39" s="2878"/>
      <c r="AB39" s="2878"/>
      <c r="AC39" s="2878"/>
      <c r="AD39" s="2878"/>
      <c r="AE39" s="2878"/>
      <c r="AF39" s="2878"/>
      <c r="AG39" s="2878"/>
      <c r="AH39" s="2878"/>
      <c r="AI39" s="2878"/>
      <c r="AJ39" s="2878"/>
      <c r="AK39" s="2878"/>
      <c r="AL39" s="2878"/>
      <c r="AM39" s="2878"/>
      <c r="AN39" s="2878"/>
      <c r="AO39" s="2878"/>
      <c r="AP39" s="2878"/>
      <c r="AQ39" s="2878"/>
      <c r="AR39" s="2878"/>
      <c r="AS39" s="2878"/>
      <c r="AT39" s="2878"/>
      <c r="AU39" s="2878"/>
      <c r="AV39" s="2878"/>
      <c r="AW39" s="2878"/>
      <c r="AX39" s="2878"/>
      <c r="AY39" s="2878"/>
      <c r="AZ39" s="2878"/>
      <c r="BA39" s="2878"/>
      <c r="BI39" s="1781">
        <v>14</v>
      </c>
    </row>
    <row customHeight="1" ht="14.699999999999998">
      <c r="Q40" s="917"/>
      <c r="R40" s="1002"/>
      <c r="S40" s="2753" t="s">
        <v>318</v>
      </c>
      <c r="T40" s="2753"/>
      <c r="U40" s="2753"/>
      <c r="V40" s="2753"/>
      <c r="W40" s="2753"/>
      <c r="X40" s="2753"/>
      <c r="Y40" s="2753"/>
      <c r="Z40" s="2753"/>
      <c r="AA40" s="2753"/>
      <c r="AB40" s="2753"/>
      <c r="AC40" s="2753"/>
      <c r="AD40" s="2753"/>
      <c r="AE40" s="2753"/>
      <c r="AF40" s="2753"/>
      <c r="AG40" s="2753"/>
      <c r="AH40" s="2753"/>
      <c r="AI40" s="2753"/>
      <c r="AJ40" s="2753"/>
      <c r="AK40" s="2753"/>
      <c r="AL40" s="2753"/>
      <c r="AM40" s="2753"/>
      <c r="AN40" s="2753"/>
      <c r="AO40" s="2753"/>
      <c r="AP40" s="2753"/>
      <c r="AQ40" s="2753"/>
      <c r="AR40" s="2753"/>
      <c r="AS40" s="2753"/>
      <c r="AT40" s="2753"/>
      <c r="AU40" s="2753"/>
      <c r="AV40" s="2753"/>
      <c r="AW40" s="2753"/>
      <c r="AX40" s="2753"/>
      <c r="AY40" s="2753"/>
      <c r="AZ40" s="2753"/>
      <c r="BA40" s="2753"/>
      <c r="BB40" s="2753"/>
      <c r="BC40" s="2753" t="s">
        <v>319</v>
      </c>
      <c r="BI40" s="1781">
        <v>14</v>
      </c>
    </row>
    <row customHeight="1" ht="14.699999999999998">
      <c r="Q41" s="917"/>
      <c r="R41" s="1002"/>
      <c r="S41" s="2899" t="s">
        <v>88</v>
      </c>
      <c r="T41" s="2835" t="s">
        <v>525</v>
      </c>
      <c r="U41" s="927"/>
      <c r="V41" s="2900" t="s">
        <v>447</v>
      </c>
      <c r="W41" s="2901"/>
      <c r="X41" s="2901"/>
      <c r="Y41" s="2901"/>
      <c r="Z41" s="2901"/>
      <c r="AA41" s="2901"/>
      <c r="AB41" s="2902"/>
      <c r="AC41" s="2903" t="s">
        <v>448</v>
      </c>
      <c r="AD41" s="2954" t="s">
        <v>526</v>
      </c>
      <c r="AE41" s="2917"/>
      <c r="AF41" s="2917"/>
      <c r="AG41" s="2955"/>
      <c r="AH41" s="2954" t="s">
        <v>527</v>
      </c>
      <c r="AI41" s="2917"/>
      <c r="AJ41" s="2917"/>
      <c r="AK41" s="2955"/>
      <c r="AL41" s="2954" t="s">
        <v>528</v>
      </c>
      <c r="AM41" s="2917"/>
      <c r="AN41" s="2917"/>
      <c r="AO41" s="2955"/>
      <c r="AP41" s="2954" t="s">
        <v>529</v>
      </c>
      <c r="AQ41" s="2917"/>
      <c r="AR41" s="2917"/>
      <c r="AS41" s="2955"/>
      <c r="AT41" s="2900" t="s">
        <v>447</v>
      </c>
      <c r="AU41" s="2901"/>
      <c r="AV41" s="2901"/>
      <c r="AW41" s="2901"/>
      <c r="AX41" s="2901"/>
      <c r="AY41" s="2901"/>
      <c r="AZ41" s="2902"/>
      <c r="BA41" s="2903" t="s">
        <v>448</v>
      </c>
      <c r="BB41" s="2906" t="s">
        <v>450</v>
      </c>
      <c r="BC41" s="2753"/>
      <c r="BI41" s="1781">
        <v>14</v>
      </c>
    </row>
    <row customHeight="1" ht="35.699999999999996">
      <c r="Q42" s="917"/>
      <c r="R42" s="1002"/>
      <c r="S42" s="2899"/>
      <c r="T42" s="2835"/>
      <c r="U42" s="1657"/>
      <c r="V42" s="2818" t="s">
        <v>530</v>
      </c>
      <c r="W42" s="2819"/>
      <c r="X42" s="2818" t="s">
        <v>531</v>
      </c>
      <c r="Y42" s="2819"/>
      <c r="Z42" s="2920" t="s">
        <v>532</v>
      </c>
      <c r="AA42" s="2939"/>
      <c r="AB42" s="2940"/>
      <c r="AC42" s="2904"/>
      <c r="AD42" s="2956"/>
      <c r="AE42" s="2957"/>
      <c r="AF42" s="2957"/>
      <c r="AG42" s="2958"/>
      <c r="AH42" s="2956"/>
      <c r="AI42" s="2957"/>
      <c r="AJ42" s="2957"/>
      <c r="AK42" s="2958"/>
      <c r="AL42" s="2956"/>
      <c r="AM42" s="2957"/>
      <c r="AN42" s="2957"/>
      <c r="AO42" s="2958"/>
      <c r="AP42" s="2956"/>
      <c r="AQ42" s="2957"/>
      <c r="AR42" s="2957"/>
      <c r="AS42" s="2958"/>
      <c r="AT42" s="2818" t="s">
        <v>530</v>
      </c>
      <c r="AU42" s="2819"/>
      <c r="AV42" s="2818" t="s">
        <v>531</v>
      </c>
      <c r="AW42" s="2819"/>
      <c r="AX42" s="2920" t="s">
        <v>532</v>
      </c>
      <c r="AY42" s="2939"/>
      <c r="AZ42" s="2940"/>
      <c r="BA42" s="2904"/>
      <c r="BB42" s="2907"/>
      <c r="BC42" s="2753"/>
      <c r="BI42" s="1781">
        <v>34</v>
      </c>
    </row>
    <row customHeight="1" ht="14.699999999999998">
      <c r="Q43" s="917"/>
      <c r="R43" s="1002"/>
      <c r="S43" s="2899"/>
      <c r="T43" s="2835"/>
      <c r="U43" s="1657"/>
      <c r="V43" s="2826"/>
      <c r="W43" s="2827"/>
      <c r="X43" s="2826"/>
      <c r="Y43" s="2827"/>
      <c r="Z43" s="2921"/>
      <c r="AA43" s="2941"/>
      <c r="AB43" s="2942"/>
      <c r="AC43" s="2904"/>
      <c r="AD43" s="2956"/>
      <c r="AE43" s="2957"/>
      <c r="AF43" s="2957"/>
      <c r="AG43" s="2958"/>
      <c r="AH43" s="2956"/>
      <c r="AI43" s="2957"/>
      <c r="AJ43" s="2957"/>
      <c r="AK43" s="2958"/>
      <c r="AL43" s="2956"/>
      <c r="AM43" s="2957"/>
      <c r="AN43" s="2957"/>
      <c r="AO43" s="2958"/>
      <c r="AP43" s="2956"/>
      <c r="AQ43" s="2957"/>
      <c r="AR43" s="2957"/>
      <c r="AS43" s="2958"/>
      <c r="AT43" s="2826"/>
      <c r="AU43" s="2827"/>
      <c r="AV43" s="2826"/>
      <c r="AW43" s="2827"/>
      <c r="AX43" s="2921"/>
      <c r="AY43" s="2941"/>
      <c r="AZ43" s="2942"/>
      <c r="BA43" s="2904"/>
      <c r="BB43" s="2907"/>
      <c r="BC43" s="2753"/>
      <c r="BI43" s="1781">
        <v>14</v>
      </c>
    </row>
    <row customHeight="1" ht="14.699999999999998">
      <c r="A44" s="1996"/>
      <c r="B44" s="1996" t="s">
        <v>155</v>
      </c>
      <c r="C44" s="1996" t="s">
        <v>156</v>
      </c>
      <c r="D44" s="1996" t="s">
        <v>157</v>
      </c>
      <c r="E44" s="1990" t="s">
        <v>455</v>
      </c>
      <c r="F44" s="1990" t="s">
        <v>456</v>
      </c>
      <c r="G44" s="1990" t="s">
        <v>457</v>
      </c>
      <c r="H44" s="1990" t="s">
        <v>458</v>
      </c>
      <c r="I44" s="1990" t="s">
        <v>459</v>
      </c>
      <c r="J44" s="1990" t="s">
        <v>460</v>
      </c>
      <c r="K44" s="1990" t="s">
        <v>461</v>
      </c>
      <c r="L44" s="1990" t="s">
        <v>436</v>
      </c>
      <c r="Q44" s="917"/>
      <c r="R44" s="1002"/>
      <c r="S44" s="2899"/>
      <c r="T44" s="2835"/>
      <c r="U44" s="928"/>
      <c r="V44" s="2074" t="s">
        <v>496</v>
      </c>
      <c r="W44" s="2074" t="s">
        <v>497</v>
      </c>
      <c r="X44" s="2074" t="s">
        <v>496</v>
      </c>
      <c r="Y44" s="2074" t="s">
        <v>497</v>
      </c>
      <c r="Z44" s="2081" t="s">
        <v>464</v>
      </c>
      <c r="AA44" s="2896" t="s">
        <v>465</v>
      </c>
      <c r="AB44" s="2897"/>
      <c r="AC44" s="2905"/>
      <c r="AD44" s="2959"/>
      <c r="AE44" s="2960"/>
      <c r="AF44" s="2960"/>
      <c r="AG44" s="2961"/>
      <c r="AH44" s="2959"/>
      <c r="AI44" s="2960"/>
      <c r="AJ44" s="2960"/>
      <c r="AK44" s="2961"/>
      <c r="AL44" s="2959"/>
      <c r="AM44" s="2960"/>
      <c r="AN44" s="2960"/>
      <c r="AO44" s="2961"/>
      <c r="AP44" s="2959"/>
      <c r="AQ44" s="2960"/>
      <c r="AR44" s="2960"/>
      <c r="AS44" s="2961"/>
      <c r="AT44" s="2074" t="s">
        <v>496</v>
      </c>
      <c r="AU44" s="2074" t="s">
        <v>497</v>
      </c>
      <c r="AV44" s="2074" t="s">
        <v>496</v>
      </c>
      <c r="AW44" s="2074" t="s">
        <v>497</v>
      </c>
      <c r="AX44" s="2081" t="s">
        <v>464</v>
      </c>
      <c r="AY44" s="2896" t="s">
        <v>465</v>
      </c>
      <c r="AZ44" s="2897"/>
      <c r="BA44" s="2905"/>
      <c r="BB44" s="2908"/>
      <c r="BC44" s="2753"/>
      <c r="BI44" s="1781">
        <v>14</v>
      </c>
    </row>
    <row s="35197" customFormat="1" customHeight="1" ht="11.25" hidden="1">
      <c r="A45" s="1996"/>
      <c r="B45" s="1996"/>
      <c r="C45" s="1996"/>
      <c r="D45" s="1996"/>
      <c r="E45" s="1996"/>
      <c r="F45" s="1996"/>
      <c r="G45" s="1996"/>
      <c r="H45" s="1996"/>
      <c r="I45" s="1996"/>
      <c r="J45" s="1996"/>
      <c r="K45" s="1996"/>
      <c r="L45" s="1990"/>
      <c r="M45" s="1988"/>
      <c r="N45" s="1988"/>
      <c r="O45" s="1988"/>
      <c r="P45" s="1136"/>
      <c r="Q45" s="1880"/>
      <c r="R45" s="1880">
        <v>1</v>
      </c>
      <c r="S45" s="1903" t="s">
        <v>118</v>
      </c>
      <c r="T45" s="1881" t="s">
        <v>102</v>
      </c>
      <c r="U45" s="1871" t="str">
        <f>OFFSET(U45,0,-1)</f>
        <v>2</v>
      </c>
      <c r="V45" s="2077">
        <f>OFFSET(V45,0,-1)+1</f>
        <v>3</v>
      </c>
      <c r="W45" s="2077">
        <f>OFFSET(W45,0,-1)+1</f>
        <v>4</v>
      </c>
      <c r="X45" s="2077">
        <f>OFFSET(X45,0,-1)+1</f>
        <v>5</v>
      </c>
      <c r="Y45" s="2077">
        <f>OFFSET(Y45,0,-1)+1</f>
        <v>6</v>
      </c>
      <c r="Z45" s="2077">
        <f>OFFSET(Z45,0,-1)+1</f>
        <v>7</v>
      </c>
      <c r="AA45" s="2898">
        <f>OFFSET(AA45,0,-1)+1</f>
        <v>8</v>
      </c>
      <c r="AB45" s="2898"/>
      <c r="AC45" s="2077">
        <f>OFFSET(AC45,0,-2)+1</f>
        <v>9</v>
      </c>
      <c r="AD45" s="2077">
        <f>OFFSET(AD45,0,-1)+1</f>
        <v>10</v>
      </c>
      <c r="AE45" s="2077"/>
      <c r="AF45" s="2077"/>
      <c r="AG45" s="2077"/>
      <c r="AH45" s="2077"/>
      <c r="AI45" s="2077"/>
      <c r="AJ45" s="2077"/>
      <c r="AK45" s="2077"/>
      <c r="AL45" s="2077"/>
      <c r="AM45" s="2077"/>
      <c r="AN45" s="2077"/>
      <c r="AO45" s="2077"/>
      <c r="AP45" s="2077"/>
      <c r="AQ45" s="2077"/>
      <c r="AR45" s="2077"/>
      <c r="AS45" s="2077"/>
      <c r="AT45" s="2077"/>
      <c r="AU45" s="2077"/>
      <c r="AV45" s="2077"/>
      <c r="AW45" s="2077">
        <f>OFFSET(AW45,0,-1)+1</f>
        <v>1</v>
      </c>
      <c r="AX45" s="2077">
        <f>OFFSET(AX45,0,-1)+1</f>
        <v>2</v>
      </c>
      <c r="AY45" s="2898">
        <f>OFFSET(AY45,0,-1)+1</f>
        <v>3</v>
      </c>
      <c r="AZ45" s="2898"/>
      <c r="BA45" s="2077">
        <f>OFFSET(BA45,0,-2)+1</f>
        <v>4</v>
      </c>
      <c r="BB45" s="1871">
        <f>OFFSET(BB45,0,-1)</f>
        <v>4</v>
      </c>
      <c r="BC45" s="2077">
        <f>OFFSET(BC45,0,-1)+1</f>
        <v>5</v>
      </c>
      <c r="BD45" s="1137"/>
      <c r="BE45" s="1137"/>
      <c r="BF45" s="1137"/>
      <c r="BG45" s="1137"/>
      <c r="BH45" s="1137"/>
      <c r="BI45" s="1122">
        <v>0</v>
      </c>
    </row>
    <row customHeight="1" ht="22.049999999999997">
      <c r="A46" s="1989" t="s">
        <v>264</v>
      </c>
      <c r="B46" s="1989"/>
      <c r="C46" s="1989"/>
      <c r="D46" s="1989"/>
      <c r="E46" s="2884">
        <v>1</v>
      </c>
      <c r="F46" s="1989"/>
      <c r="G46" s="1989"/>
      <c r="H46" s="1989"/>
      <c r="I46" s="1989"/>
      <c r="J46" s="1989"/>
      <c r="K46" s="1989"/>
      <c r="L46" s="1990"/>
      <c r="M46" s="1991"/>
      <c r="N46" s="1991"/>
      <c r="O46" s="1991"/>
      <c r="P46" s="2035"/>
      <c r="Q46" s="1499"/>
      <c r="R46" s="981"/>
      <c r="S46" s="2083">
        <f>INDEX(PT_DIFFERENTIATION_NUM_NTAR,MATCH(A46,PT_DIFFERENTIATION_NTAR_ID,0))</f>
        <v>0</v>
      </c>
      <c r="T46" s="924" t="s">
        <v>143</v>
      </c>
      <c r="U46" s="926"/>
      <c r="V46" s="2869"/>
      <c r="W46" s="2869"/>
      <c r="X46" s="2869"/>
      <c r="Y46" s="2869"/>
      <c r="Z46" s="2869"/>
      <c r="AA46" s="2869"/>
      <c r="AB46" s="2869"/>
      <c r="AC46" s="2870"/>
      <c r="AD46" s="2868" t="str">
        <f>INDEX(PT_DIFFERENTIATION_NTAR,MATCH(A46,PT_DIFFERENTIATION_NTAR_ID,0))</f>
        <v/>
      </c>
      <c r="AE46" s="2869"/>
      <c r="AF46" s="2869"/>
      <c r="AG46" s="2869"/>
      <c r="AH46" s="2869"/>
      <c r="AI46" s="2869"/>
      <c r="AJ46" s="2869"/>
      <c r="AK46" s="2869"/>
      <c r="AL46" s="2869"/>
      <c r="AM46" s="2869"/>
      <c r="AN46" s="2869"/>
      <c r="AO46" s="2869"/>
      <c r="AP46" s="2869"/>
      <c r="AQ46" s="2869"/>
      <c r="AR46" s="2869"/>
      <c r="AS46" s="2869"/>
      <c r="AT46" s="2869"/>
      <c r="AU46" s="2869"/>
      <c r="AV46" s="2869"/>
      <c r="AW46" s="2869"/>
      <c r="AX46" s="2869"/>
      <c r="AY46" s="2869"/>
      <c r="AZ46" s="2869"/>
      <c r="BA46" s="2869"/>
      <c r="BB46" s="2870"/>
      <c r="BC46"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26"/>
      <c r="BF46" s="1126" t="str">
        <f>IF(T46="","",T46)</f>
        <v>Наименование тарифа</v>
      </c>
      <c r="BG46" s="1126"/>
      <c r="BH46" s="1126"/>
      <c r="BI46" s="1781">
        <v>21</v>
      </c>
    </row>
    <row customHeight="1" ht="22.049999999999997">
      <c r="A47" s="1989" t="s">
        <v>264</v>
      </c>
      <c r="B47" s="1989" t="s">
        <v>265</v>
      </c>
      <c r="C47" s="1989"/>
      <c r="D47" s="1989"/>
      <c r="E47" s="2885"/>
      <c r="F47" s="2884">
        <v>1</v>
      </c>
      <c r="G47" s="1989"/>
      <c r="H47" s="1989"/>
      <c r="I47" s="1989"/>
      <c r="J47" s="1989"/>
      <c r="K47" s="1989"/>
      <c r="L47" s="1990"/>
      <c r="M47" s="1991"/>
      <c r="N47" s="1991"/>
      <c r="O47" s="1991"/>
      <c r="P47" s="2036"/>
      <c r="Q47" s="2037"/>
      <c r="R47" s="979"/>
      <c r="S47" s="2083" t="str">
        <f>INDEX(PT_DIFFERENTIATION_NUM_TER,MATCH(B47,PT_DIFFERENTIATION_TER_ID,0))</f>
        <v>.</v>
      </c>
      <c r="T47" s="934" t="s">
        <v>415</v>
      </c>
      <c r="U47" s="926"/>
      <c r="V47" s="2869"/>
      <c r="W47" s="2869"/>
      <c r="X47" s="2869"/>
      <c r="Y47" s="2869"/>
      <c r="Z47" s="2869"/>
      <c r="AA47" s="2869"/>
      <c r="AB47" s="2869"/>
      <c r="AC47" s="2870"/>
      <c r="AD47" s="2868" t="str">
        <f>INDEX(PT_DIFFERENTIATION_TER,MATCH(B47,PT_DIFFERENTIATION_TER_ID,0))</f>
        <v/>
      </c>
      <c r="AE47" s="2869"/>
      <c r="AF47" s="2869"/>
      <c r="AG47" s="2869"/>
      <c r="AH47" s="2869"/>
      <c r="AI47" s="2869"/>
      <c r="AJ47" s="2869"/>
      <c r="AK47" s="2869"/>
      <c r="AL47" s="2869"/>
      <c r="AM47" s="2869"/>
      <c r="AN47" s="2869"/>
      <c r="AO47" s="2869"/>
      <c r="AP47" s="2869"/>
      <c r="AQ47" s="2869"/>
      <c r="AR47" s="2869"/>
      <c r="AS47" s="2869"/>
      <c r="AT47" s="2869"/>
      <c r="AU47" s="2869"/>
      <c r="AV47" s="2869"/>
      <c r="AW47" s="2869"/>
      <c r="AX47" s="2869"/>
      <c r="AY47" s="2869"/>
      <c r="AZ47" s="2869"/>
      <c r="BA47" s="2869"/>
      <c r="BB47" s="2870"/>
      <c r="BC47" s="1884" t="s">
        <v>416</v>
      </c>
      <c r="BE47" s="1126"/>
      <c r="BF47" s="1126" t="str">
        <f>IF(T47="","",T47)</f>
        <v>Территория действия тарифа</v>
      </c>
      <c r="BG47" s="1126"/>
      <c r="BH47" s="1126"/>
      <c r="BI47" s="1781">
        <v>21</v>
      </c>
    </row>
    <row customHeight="1" ht="43.050000000000004">
      <c r="A48" s="1989" t="s">
        <v>264</v>
      </c>
      <c r="B48" s="1989" t="s">
        <v>265</v>
      </c>
      <c r="C48" s="1989" t="s">
        <v>266</v>
      </c>
      <c r="D48" s="1989"/>
      <c r="E48" s="2885"/>
      <c r="F48" s="2885"/>
      <c r="G48" s="2884">
        <v>1</v>
      </c>
      <c r="H48" s="1989"/>
      <c r="I48" s="1989"/>
      <c r="J48" s="1989"/>
      <c r="K48" s="1989"/>
      <c r="L48" s="1990"/>
      <c r="M48" s="1991"/>
      <c r="N48" s="1991"/>
      <c r="O48" s="1991"/>
      <c r="P48" s="2038"/>
      <c r="Q48" s="2037"/>
      <c r="R48" s="979"/>
      <c r="S48" s="2083" t="str">
        <f>INDEX(PT_DIFFERENTIATION_NUM_CS,MATCH(C48,PT_DIFFERENTIATION_CS_ID,0))</f>
        <v>..</v>
      </c>
      <c r="T48" s="935" t="s">
        <v>499</v>
      </c>
      <c r="U48" s="926"/>
      <c r="V48" s="2869"/>
      <c r="W48" s="2869"/>
      <c r="X48" s="2869"/>
      <c r="Y48" s="2869"/>
      <c r="Z48" s="2869"/>
      <c r="AA48" s="2869"/>
      <c r="AB48" s="2869"/>
      <c r="AC48" s="2870"/>
      <c r="AD48" s="2868" t="str">
        <f>INDEX(PT_DIFFERENTIATION_CS,MATCH(C48,PT_DIFFERENTIATION_CS_ID,0))</f>
        <v/>
      </c>
      <c r="AE48" s="2869"/>
      <c r="AF48" s="2869"/>
      <c r="AG48" s="2869"/>
      <c r="AH48" s="2869"/>
      <c r="AI48" s="2869"/>
      <c r="AJ48" s="2869"/>
      <c r="AK48" s="2869"/>
      <c r="AL48" s="2869"/>
      <c r="AM48" s="2869"/>
      <c r="AN48" s="2869"/>
      <c r="AO48" s="2869"/>
      <c r="AP48" s="2869"/>
      <c r="AQ48" s="2869"/>
      <c r="AR48" s="2869"/>
      <c r="AS48" s="2869"/>
      <c r="AT48" s="2869"/>
      <c r="AU48" s="2869"/>
      <c r="AV48" s="2869"/>
      <c r="AW48" s="2869"/>
      <c r="AX48" s="2869"/>
      <c r="AY48" s="2869"/>
      <c r="AZ48" s="2869"/>
      <c r="BA48" s="2869"/>
      <c r="BB48" s="2870"/>
      <c r="BC48" s="1884" t="s">
        <v>500</v>
      </c>
      <c r="BE48" s="1126"/>
      <c r="BF48" s="1126" t="str">
        <f>IF(T48="","",T48)</f>
        <v>Наименование централизованной системы холодного водоснабжения</v>
      </c>
      <c r="BG48" s="1126"/>
      <c r="BH48" s="1126"/>
      <c r="BI48" s="1781">
        <v>41</v>
      </c>
    </row>
    <row s="34658" customFormat="1" customHeight="1" ht="0">
      <c r="A49" s="1969" t="s">
        <v>264</v>
      </c>
      <c r="B49" s="1969" t="s">
        <v>265</v>
      </c>
      <c r="C49" s="1969" t="s">
        <v>266</v>
      </c>
      <c r="D49" s="1969" t="s">
        <v>533</v>
      </c>
      <c r="E49" s="2885"/>
      <c r="F49" s="2885"/>
      <c r="G49" s="2885"/>
      <c r="H49" s="2884">
        <v>1</v>
      </c>
      <c r="I49" s="1969"/>
      <c r="J49" s="1969"/>
      <c r="K49" s="1969"/>
      <c r="L49" s="1972"/>
      <c r="M49" s="1941"/>
      <c r="N49" s="1941"/>
      <c r="O49" s="1941"/>
      <c r="P49" s="2123"/>
      <c r="Q49" s="2124"/>
      <c r="R49" s="983"/>
      <c r="S49" s="1668"/>
      <c r="T49" s="2125"/>
      <c r="U49" s="2010"/>
      <c r="V49" s="2923"/>
      <c r="W49" s="2923"/>
      <c r="X49" s="2923"/>
      <c r="Y49" s="2923"/>
      <c r="Z49" s="2923"/>
      <c r="AA49" s="2923"/>
      <c r="AB49" s="2923"/>
      <c r="AC49" s="2924"/>
      <c r="AD49" s="2922"/>
      <c r="AE49" s="2923"/>
      <c r="AF49" s="2923"/>
      <c r="AG49" s="2923"/>
      <c r="AH49" s="2923"/>
      <c r="AI49" s="2923"/>
      <c r="AJ49" s="2923"/>
      <c r="AK49" s="2923"/>
      <c r="AL49" s="2923"/>
      <c r="AM49" s="2923"/>
      <c r="AN49" s="2923"/>
      <c r="AO49" s="2923"/>
      <c r="AP49" s="2923"/>
      <c r="AQ49" s="2923"/>
      <c r="AR49" s="2923"/>
      <c r="AS49" s="2923"/>
      <c r="AT49" s="2923"/>
      <c r="AU49" s="2923"/>
      <c r="AV49" s="2923"/>
      <c r="AW49" s="2923"/>
      <c r="AX49" s="2923"/>
      <c r="AY49" s="2923"/>
      <c r="AZ49" s="2923"/>
      <c r="BA49" s="2923"/>
      <c r="BB49" s="2924"/>
      <c r="BC49" s="2011" t="s">
        <v>420</v>
      </c>
      <c r="BE49" s="1126"/>
      <c r="BF49" s="1126" t="str">
        <f>IF(T49="","",T49)</f>
        <v/>
      </c>
      <c r="BG49" s="1126"/>
      <c r="BH49" s="1126"/>
      <c r="BI49" s="1137">
        <v>0</v>
      </c>
    </row>
    <row s="34658" customFormat="1" customHeight="1" ht="0">
      <c r="A50" s="1969" t="s">
        <v>264</v>
      </c>
      <c r="B50" s="1969" t="s">
        <v>265</v>
      </c>
      <c r="C50" s="1969" t="s">
        <v>266</v>
      </c>
      <c r="D50" s="1969" t="s">
        <v>533</v>
      </c>
      <c r="E50" s="2885"/>
      <c r="F50" s="2885"/>
      <c r="G50" s="2885"/>
      <c r="H50" s="2885"/>
      <c r="I50" s="2882" t="str">
        <f>S49&amp;".1"</f>
        <v>.1</v>
      </c>
      <c r="J50" s="1969"/>
      <c r="K50" s="1969"/>
      <c r="L50" s="1972" t="s">
        <v>421</v>
      </c>
      <c r="M50" s="1136"/>
      <c r="N50" s="1136"/>
      <c r="O50" s="1136"/>
      <c r="P50" s="2883">
        <v>1</v>
      </c>
      <c r="Q50" s="2088"/>
      <c r="R50" s="982"/>
      <c r="S50" s="1668"/>
      <c r="T50" s="2009"/>
      <c r="U50" s="2010"/>
      <c r="V50" s="2923"/>
      <c r="W50" s="2923"/>
      <c r="X50" s="2923"/>
      <c r="Y50" s="2923"/>
      <c r="Z50" s="2923"/>
      <c r="AA50" s="2923"/>
      <c r="AB50" s="2923"/>
      <c r="AC50" s="2924"/>
      <c r="AD50" s="2922"/>
      <c r="AE50" s="2923"/>
      <c r="AF50" s="2923"/>
      <c r="AG50" s="2923"/>
      <c r="AH50" s="2923"/>
      <c r="AI50" s="2923"/>
      <c r="AJ50" s="2923"/>
      <c r="AK50" s="2923"/>
      <c r="AL50" s="2923"/>
      <c r="AM50" s="2923"/>
      <c r="AN50" s="2923"/>
      <c r="AO50" s="2923"/>
      <c r="AP50" s="2923"/>
      <c r="AQ50" s="2923"/>
      <c r="AR50" s="2923"/>
      <c r="AS50" s="2923"/>
      <c r="AT50" s="2923"/>
      <c r="AU50" s="2923"/>
      <c r="AV50" s="2923"/>
      <c r="AW50" s="2923"/>
      <c r="AX50" s="2923"/>
      <c r="AY50" s="2923"/>
      <c r="AZ50" s="2923"/>
      <c r="BA50" s="2923"/>
      <c r="BB50" s="2924"/>
      <c r="BC50" s="2011"/>
      <c r="BE50" s="1126"/>
      <c r="BF50" s="1126" t="str">
        <f>IF(T50="","",T50)</f>
        <v/>
      </c>
      <c r="BG50" s="1126"/>
      <c r="BH50" s="1126"/>
      <c r="BI50" s="1137">
        <v>0</v>
      </c>
    </row>
    <row s="34658" customFormat="1" customHeight="1" ht="0">
      <c r="A51" s="1969" t="s">
        <v>264</v>
      </c>
      <c r="B51" s="1969" t="s">
        <v>265</v>
      </c>
      <c r="C51" s="1969" t="s">
        <v>266</v>
      </c>
      <c r="D51" s="1969" t="s">
        <v>533</v>
      </c>
      <c r="E51" s="2885"/>
      <c r="F51" s="2885"/>
      <c r="G51" s="2885"/>
      <c r="H51" s="2885"/>
      <c r="I51" s="2912"/>
      <c r="J51" s="2882" t="str">
        <f>S49&amp;".1"</f>
        <v>.1</v>
      </c>
      <c r="K51" s="1969"/>
      <c r="L51" s="1972"/>
      <c r="M51" s="1136"/>
      <c r="N51" s="1136"/>
      <c r="O51" s="1136"/>
      <c r="P51" s="2883"/>
      <c r="Q51" s="2883">
        <v>1</v>
      </c>
      <c r="R51" s="983"/>
      <c r="S51" s="1668"/>
      <c r="T51" s="2025"/>
      <c r="U51" s="2010"/>
      <c r="V51" s="2923"/>
      <c r="W51" s="2923"/>
      <c r="X51" s="2923"/>
      <c r="Y51" s="2923"/>
      <c r="Z51" s="2923"/>
      <c r="AA51" s="2923"/>
      <c r="AB51" s="2923"/>
      <c r="AC51" s="2924"/>
      <c r="AD51" s="2922"/>
      <c r="AE51" s="2923"/>
      <c r="AF51" s="2923"/>
      <c r="AG51" s="2923"/>
      <c r="AH51" s="2923"/>
      <c r="AI51" s="2923"/>
      <c r="AJ51" s="2923"/>
      <c r="AK51" s="2923"/>
      <c r="AL51" s="2923"/>
      <c r="AM51" s="2923"/>
      <c r="AN51" s="2990"/>
      <c r="AO51" s="2990"/>
      <c r="AP51" s="2923"/>
      <c r="AQ51" s="2923"/>
      <c r="AR51" s="2923"/>
      <c r="AS51" s="2923"/>
      <c r="AT51" s="2923"/>
      <c r="AU51" s="2923"/>
      <c r="AV51" s="2923"/>
      <c r="AW51" s="2923"/>
      <c r="AX51" s="2923"/>
      <c r="AY51" s="2923"/>
      <c r="AZ51" s="2923"/>
      <c r="BA51" s="2923"/>
      <c r="BB51" s="2924"/>
      <c r="BC51" s="2011"/>
      <c r="BE51" s="1126"/>
      <c r="BF51" s="1126" t="str">
        <f>IF(T51="","",T51)</f>
        <v/>
      </c>
      <c r="BG51" s="1126"/>
      <c r="BH51" s="1126"/>
      <c r="BI51" s="1137">
        <v>0</v>
      </c>
    </row>
    <row customHeight="1" ht="11.549999999999999">
      <c r="A52" s="1989" t="s">
        <v>264</v>
      </c>
      <c r="B52" s="1989" t="s">
        <v>265</v>
      </c>
      <c r="C52" s="1989" t="s">
        <v>266</v>
      </c>
      <c r="D52" s="1989" t="s">
        <v>533</v>
      </c>
      <c r="E52" s="2885"/>
      <c r="F52" s="2885"/>
      <c r="G52" s="2885"/>
      <c r="H52" s="2885"/>
      <c r="I52" s="2912"/>
      <c r="J52" s="2912"/>
      <c r="K52" s="2882" t="str">
        <f>S48&amp;".1"</f>
        <v>...1</v>
      </c>
      <c r="L52" s="1990"/>
      <c r="P52" s="2883"/>
      <c r="Q52" s="2883"/>
      <c r="R52" s="983">
        <v>1</v>
      </c>
      <c r="S52" s="2967" t="str">
        <f>$K52</f>
        <v>...1</v>
      </c>
      <c r="T52" s="2986"/>
      <c r="U52" s="926"/>
      <c r="V52" s="1377"/>
      <c r="W52" s="1883"/>
      <c r="X52" s="1377"/>
      <c r="Y52" s="1883"/>
      <c r="Z52" s="2360"/>
      <c r="AA52" s="2085" t="s">
        <v>66</v>
      </c>
      <c r="AB52" s="2360"/>
      <c r="AC52" s="2085" t="s">
        <v>66</v>
      </c>
      <c r="AD52" s="2811" t="s">
        <v>66</v>
      </c>
      <c r="AE52" s="2952"/>
      <c r="AF52" s="2831">
        <v>1</v>
      </c>
      <c r="AG52" s="2989"/>
      <c r="AH52" s="2733" t="s">
        <v>66</v>
      </c>
      <c r="AI52" s="2952"/>
      <c r="AJ52" s="2831">
        <v>1</v>
      </c>
      <c r="AK52" s="2953" t="s">
        <v>22</v>
      </c>
      <c r="AL52" s="2733" t="s">
        <v>66</v>
      </c>
      <c r="AM52" s="2818"/>
      <c r="AN52" s="2831">
        <v>1</v>
      </c>
      <c r="AO52" s="2983"/>
      <c r="AP52" s="2984" t="s">
        <v>66</v>
      </c>
      <c r="AQ52" s="937"/>
      <c r="AR52" s="2089">
        <v>1</v>
      </c>
      <c r="AS52" s="2092" t="s">
        <v>22</v>
      </c>
      <c r="AT52" s="1377"/>
      <c r="AU52" s="1883"/>
      <c r="AV52" s="1377"/>
      <c r="AW52" s="1883"/>
      <c r="AX52" s="2360"/>
      <c r="AY52" s="2085" t="s">
        <v>66</v>
      </c>
      <c r="AZ52" s="2360"/>
      <c r="BA52" s="2085" t="s">
        <v>66</v>
      </c>
      <c r="BB52" s="1974"/>
      <c r="BC52" s="2879" t="s">
        <v>519</v>
      </c>
      <c r="BE52" s="1126"/>
      <c r="BF52" s="1126" t="str">
        <f>IF(T52="","",T52)</f>
        <v/>
      </c>
      <c r="BG52" s="1126"/>
      <c r="BH52" s="1126"/>
      <c r="BI52" s="1781">
        <v>11</v>
      </c>
    </row>
    <row customHeight="1" ht="11.549999999999999">
      <c r="A53" s="1989"/>
      <c r="B53" s="1989"/>
      <c r="C53" s="1989"/>
      <c r="D53" s="1989"/>
      <c r="E53" s="2885"/>
      <c r="F53" s="2885"/>
      <c r="G53" s="2885"/>
      <c r="H53" s="2885"/>
      <c r="I53" s="2912"/>
      <c r="J53" s="2912"/>
      <c r="K53" s="2882"/>
      <c r="L53" s="1990"/>
      <c r="P53" s="2883"/>
      <c r="Q53" s="2883"/>
      <c r="R53" s="983"/>
      <c r="S53" s="2968"/>
      <c r="T53" s="2987"/>
      <c r="U53" s="926"/>
      <c r="V53" s="2019"/>
      <c r="W53" s="2122"/>
      <c r="X53" s="2019"/>
      <c r="Y53" s="2122"/>
      <c r="Z53" s="2019"/>
      <c r="AA53" s="2019"/>
      <c r="AB53" s="2019"/>
      <c r="AC53" s="2019"/>
      <c r="AD53" s="2812"/>
      <c r="AE53" s="2952"/>
      <c r="AF53" s="2831"/>
      <c r="AG53" s="2989"/>
      <c r="AH53" s="2733"/>
      <c r="AI53" s="2952"/>
      <c r="AJ53" s="2831"/>
      <c r="AK53" s="2953"/>
      <c r="AL53" s="2733"/>
      <c r="AM53" s="2826"/>
      <c r="AN53" s="2831"/>
      <c r="AO53" s="2983"/>
      <c r="AP53" s="2985"/>
      <c r="AQ53" s="942"/>
      <c r="AR53" s="1042"/>
      <c r="AS53" s="1042" t="s">
        <v>520</v>
      </c>
      <c r="AT53" s="2019"/>
      <c r="AU53" s="2122"/>
      <c r="AV53" s="2019"/>
      <c r="AW53" s="2122"/>
      <c r="AX53" s="2019"/>
      <c r="AY53" s="2019"/>
      <c r="AZ53" s="2019"/>
      <c r="BA53" s="2019"/>
      <c r="BB53" s="2023"/>
      <c r="BC53" s="2880"/>
      <c r="BE53" s="1126"/>
      <c r="BF53" s="1126"/>
      <c r="BG53" s="1126"/>
      <c r="BH53" s="1126"/>
      <c r="BI53" s="1781">
        <v>11</v>
      </c>
    </row>
    <row customHeight="1" ht="11.549999999999999">
      <c r="A54" s="1989" t="s">
        <v>264</v>
      </c>
      <c r="B54" s="1989"/>
      <c r="C54" s="1989"/>
      <c r="D54" s="1989"/>
      <c r="E54" s="2885"/>
      <c r="F54" s="2885"/>
      <c r="G54" s="2885"/>
      <c r="H54" s="2885"/>
      <c r="I54" s="2912"/>
      <c r="J54" s="2912"/>
      <c r="K54" s="2882"/>
      <c r="L54" s="1990"/>
      <c r="P54" s="2883"/>
      <c r="Q54" s="2883"/>
      <c r="R54" s="983"/>
      <c r="S54" s="2968"/>
      <c r="T54" s="2987"/>
      <c r="U54" s="926"/>
      <c r="V54" s="2019"/>
      <c r="W54" s="2122"/>
      <c r="X54" s="2019"/>
      <c r="Y54" s="2122"/>
      <c r="Z54" s="2019"/>
      <c r="AA54" s="2019"/>
      <c r="AB54" s="2019"/>
      <c r="AC54" s="2019"/>
      <c r="AD54" s="2812"/>
      <c r="AE54" s="2952"/>
      <c r="AF54" s="2831"/>
      <c r="AG54" s="2989"/>
      <c r="AH54" s="2733"/>
      <c r="AI54" s="2952"/>
      <c r="AJ54" s="2831"/>
      <c r="AK54" s="2953"/>
      <c r="AL54" s="2733"/>
      <c r="AM54" s="942"/>
      <c r="AN54" s="2126"/>
      <c r="AO54" s="2126" t="s">
        <v>521</v>
      </c>
      <c r="AP54" s="1042"/>
      <c r="AQ54" s="1042"/>
      <c r="AR54" s="1042"/>
      <c r="AS54" s="2019"/>
      <c r="AT54" s="2019"/>
      <c r="AU54" s="2122"/>
      <c r="AV54" s="2019"/>
      <c r="AW54" s="2122"/>
      <c r="AX54" s="2019"/>
      <c r="AY54" s="2019"/>
      <c r="AZ54" s="2019"/>
      <c r="BA54" s="2019"/>
      <c r="BB54" s="2023"/>
      <c r="BC54" s="2880"/>
      <c r="BE54" s="1126"/>
      <c r="BF54" s="1126"/>
      <c r="BG54" s="1126"/>
      <c r="BH54" s="1126"/>
      <c r="BI54" s="1781">
        <v>11</v>
      </c>
    </row>
    <row customHeight="1" ht="11.549999999999999">
      <c r="A55" s="1989" t="s">
        <v>264</v>
      </c>
      <c r="B55" s="1989"/>
      <c r="C55" s="1989"/>
      <c r="D55" s="1989"/>
      <c r="E55" s="2885"/>
      <c r="F55" s="2885"/>
      <c r="G55" s="2885"/>
      <c r="H55" s="2885"/>
      <c r="I55" s="2912"/>
      <c r="J55" s="2912"/>
      <c r="K55" s="2882"/>
      <c r="L55" s="1990"/>
      <c r="P55" s="2883"/>
      <c r="Q55" s="2883"/>
      <c r="R55" s="983"/>
      <c r="S55" s="2968"/>
      <c r="T55" s="2987"/>
      <c r="U55" s="926"/>
      <c r="V55" s="2019"/>
      <c r="W55" s="2122"/>
      <c r="X55" s="2019"/>
      <c r="Y55" s="2122"/>
      <c r="Z55" s="2019"/>
      <c r="AA55" s="2019"/>
      <c r="AB55" s="2019"/>
      <c r="AC55" s="2019"/>
      <c r="AD55" s="2812"/>
      <c r="AE55" s="2952"/>
      <c r="AF55" s="2831"/>
      <c r="AG55" s="2989"/>
      <c r="AH55" s="2733"/>
      <c r="AI55" s="920"/>
      <c r="AJ55" s="1041"/>
      <c r="AK55" s="939" t="s">
        <v>522</v>
      </c>
      <c r="AL55" s="2019"/>
      <c r="AM55" s="2019"/>
      <c r="AN55" s="2019"/>
      <c r="AO55" s="2019"/>
      <c r="AP55" s="2019"/>
      <c r="AQ55" s="2019"/>
      <c r="AR55" s="2019"/>
      <c r="AS55" s="2019"/>
      <c r="AT55" s="2019"/>
      <c r="AU55" s="2122"/>
      <c r="AV55" s="2019"/>
      <c r="AW55" s="2122"/>
      <c r="AX55" s="2019"/>
      <c r="AY55" s="2019"/>
      <c r="AZ55" s="2019"/>
      <c r="BA55" s="2019"/>
      <c r="BB55" s="2023"/>
      <c r="BC55" s="2880"/>
      <c r="BE55" s="1126"/>
      <c r="BF55" s="1126"/>
      <c r="BG55" s="1126"/>
      <c r="BH55" s="1126"/>
      <c r="BI55" s="1781">
        <v>11</v>
      </c>
    </row>
    <row customHeight="1" ht="11.549999999999999">
      <c r="A56" s="1989" t="s">
        <v>264</v>
      </c>
      <c r="B56" s="1989" t="s">
        <v>265</v>
      </c>
      <c r="C56" s="1989" t="s">
        <v>266</v>
      </c>
      <c r="D56" s="1989" t="s">
        <v>533</v>
      </c>
      <c r="E56" s="2885"/>
      <c r="F56" s="2885"/>
      <c r="G56" s="2885"/>
      <c r="H56" s="2885"/>
      <c r="I56" s="2912"/>
      <c r="J56" s="2912"/>
      <c r="K56" s="2882"/>
      <c r="L56" s="1990"/>
      <c r="P56" s="2883"/>
      <c r="Q56" s="2883"/>
      <c r="R56" s="983"/>
      <c r="S56" s="2969"/>
      <c r="T56" s="2988"/>
      <c r="U56" s="926"/>
      <c r="V56" s="2019"/>
      <c r="W56" s="2020" t="str">
        <f>Z52&amp;"-"&amp;AB52</f>
        <v>-</v>
      </c>
      <c r="X56" s="2019"/>
      <c r="Y56" s="2020" t="str">
        <f>AB52&amp;"-"&amp;AD52</f>
        <v>-да</v>
      </c>
      <c r="Z56" s="2019"/>
      <c r="AA56" s="2019"/>
      <c r="AB56" s="2019"/>
      <c r="AC56" s="2019"/>
      <c r="AD56" s="2738"/>
      <c r="AE56" s="938"/>
      <c r="AF56" s="940"/>
      <c r="AG56" s="1042" t="s">
        <v>523</v>
      </c>
      <c r="AH56" s="2019"/>
      <c r="AI56" s="2019"/>
      <c r="AJ56" s="2019"/>
      <c r="AK56" s="2019"/>
      <c r="AL56" s="2019"/>
      <c r="AM56" s="2019"/>
      <c r="AN56" s="2019"/>
      <c r="AO56" s="2019"/>
      <c r="AP56" s="2019"/>
      <c r="AQ56" s="2019"/>
      <c r="AR56" s="2019"/>
      <c r="AS56" s="2019"/>
      <c r="AT56" s="2019"/>
      <c r="AU56" s="2020" t="str">
        <f>AX52&amp;"-"&amp;AZ52</f>
        <v>-</v>
      </c>
      <c r="AV56" s="2019"/>
      <c r="AW56" s="2020" t="str">
        <f>AZ52&amp;"-"&amp;BB52</f>
        <v>-</v>
      </c>
      <c r="AX56" s="2019"/>
      <c r="AY56" s="2019"/>
      <c r="AZ56" s="2019"/>
      <c r="BA56" s="2019"/>
      <c r="BB56" s="2022" t="str">
        <f>BE52&amp;"-"&amp;BG52</f>
        <v>-</v>
      </c>
      <c r="BC56" s="2880"/>
      <c r="BE56" s="1126"/>
      <c r="BF56" s="1126" t="str">
        <f>IF(T56="","",T56)</f>
        <v/>
      </c>
      <c r="BG56" s="1126"/>
      <c r="BH56" s="1126"/>
      <c r="BI56" s="1781">
        <v>11</v>
      </c>
    </row>
    <row customHeight="1" ht="11.549999999999999">
      <c r="A57" s="1989" t="s">
        <v>264</v>
      </c>
      <c r="B57" s="1989" t="s">
        <v>265</v>
      </c>
      <c r="C57" s="1989" t="s">
        <v>266</v>
      </c>
      <c r="D57" s="1989" t="s">
        <v>533</v>
      </c>
      <c r="E57" s="2885"/>
      <c r="F57" s="2885"/>
      <c r="G57" s="2885"/>
      <c r="H57" s="2885"/>
      <c r="I57" s="2912"/>
      <c r="J57" s="2882"/>
      <c r="K57" s="1989"/>
      <c r="L57" s="1990"/>
      <c r="P57" s="2883"/>
      <c r="Q57" s="2883"/>
      <c r="R57" s="982"/>
      <c r="S57" s="1904"/>
      <c r="T57" s="913" t="s">
        <v>486</v>
      </c>
      <c r="U57" s="993"/>
      <c r="V57" s="993"/>
      <c r="W57" s="993"/>
      <c r="X57" s="993"/>
      <c r="Y57" s="993"/>
      <c r="Z57" s="993"/>
      <c r="AA57" s="993"/>
      <c r="AB57" s="993"/>
      <c r="AC57" s="950"/>
      <c r="AD57" s="2131"/>
      <c r="AE57" s="993"/>
      <c r="AF57" s="993"/>
      <c r="AG57" s="993"/>
      <c r="AH57" s="993"/>
      <c r="AI57" s="993"/>
      <c r="AJ57" s="993"/>
      <c r="AK57" s="993"/>
      <c r="AL57" s="993"/>
      <c r="AM57" s="993"/>
      <c r="AN57" s="993"/>
      <c r="AO57" s="993"/>
      <c r="AP57" s="993"/>
      <c r="AQ57" s="993"/>
      <c r="AR57" s="993"/>
      <c r="AS57" s="993"/>
      <c r="AT57" s="993"/>
      <c r="AU57" s="993"/>
      <c r="AV57" s="993"/>
      <c r="AW57" s="993"/>
      <c r="AX57" s="993"/>
      <c r="AY57" s="993"/>
      <c r="AZ57" s="993"/>
      <c r="BA57" s="993"/>
      <c r="BB57" s="950"/>
      <c r="BC57" s="2881"/>
      <c r="BE57" s="1126"/>
      <c r="BF57" s="1126" t="str">
        <f>IF(T57="","",T57)</f>
        <v>Добавить строку</v>
      </c>
      <c r="BG57" s="1126"/>
      <c r="BH57" s="1126"/>
      <c r="BI57" s="1781">
        <v>11</v>
      </c>
    </row>
    <row s="34658" customFormat="1" customHeight="1" ht="0">
      <c r="A58" s="1969" t="s">
        <v>264</v>
      </c>
      <c r="B58" s="1969" t="s">
        <v>265</v>
      </c>
      <c r="C58" s="1969" t="s">
        <v>266</v>
      </c>
      <c r="D58" s="1969" t="s">
        <v>533</v>
      </c>
      <c r="E58" s="2885"/>
      <c r="F58" s="2885"/>
      <c r="G58" s="2885"/>
      <c r="H58" s="2885"/>
      <c r="I58" s="2882"/>
      <c r="J58" s="1969"/>
      <c r="K58" s="1969"/>
      <c r="L58" s="1972"/>
      <c r="M58" s="1136"/>
      <c r="N58" s="1136"/>
      <c r="O58" s="1136"/>
      <c r="P58" s="2883"/>
      <c r="Q58" s="2088"/>
      <c r="R58" s="982"/>
      <c r="S58" s="2012"/>
      <c r="T58" s="2013"/>
      <c r="U58" s="2014"/>
      <c r="V58" s="2014"/>
      <c r="W58" s="2014"/>
      <c r="X58" s="2014"/>
      <c r="Y58" s="2014"/>
      <c r="Z58" s="2014"/>
      <c r="AA58" s="2014"/>
      <c r="AB58" s="2014"/>
      <c r="AC58" s="2014"/>
      <c r="AD58" s="2014"/>
      <c r="AE58" s="2014"/>
      <c r="AF58" s="2014"/>
      <c r="AG58" s="2014"/>
      <c r="AH58" s="2014"/>
      <c r="AI58" s="2014"/>
      <c r="AJ58" s="2014"/>
      <c r="AK58" s="2014"/>
      <c r="AL58" s="2014"/>
      <c r="AM58" s="2014"/>
      <c r="AN58" s="2014"/>
      <c r="AO58" s="2014"/>
      <c r="AP58" s="2014"/>
      <c r="AQ58" s="2014"/>
      <c r="AR58" s="2014"/>
      <c r="AS58" s="2014"/>
      <c r="AT58" s="2014"/>
      <c r="AU58" s="2014"/>
      <c r="AV58" s="2014"/>
      <c r="AW58" s="2014"/>
      <c r="AX58" s="2014"/>
      <c r="AY58" s="2014"/>
      <c r="AZ58" s="2014"/>
      <c r="BA58" s="2014"/>
      <c r="BB58" s="2014"/>
      <c r="BC58" s="2015"/>
      <c r="BE58" s="1126"/>
      <c r="BF58" s="1126" t="str">
        <f>IF(T58="","",T58)</f>
        <v/>
      </c>
      <c r="BG58" s="1126"/>
      <c r="BH58" s="1126"/>
      <c r="BI58" s="1137">
        <v>0</v>
      </c>
    </row>
    <row s="34658" customFormat="1" customHeight="1" ht="0">
      <c r="A59" s="1969" t="s">
        <v>264</v>
      </c>
      <c r="B59" s="1969" t="s">
        <v>265</v>
      </c>
      <c r="C59" s="1969" t="s">
        <v>266</v>
      </c>
      <c r="D59" s="1969" t="s">
        <v>533</v>
      </c>
      <c r="E59" s="2885"/>
      <c r="F59" s="2885"/>
      <c r="G59" s="2885"/>
      <c r="H59" s="2884"/>
      <c r="I59" s="1969"/>
      <c r="J59" s="1969"/>
      <c r="K59" s="1969"/>
      <c r="L59" s="1972"/>
      <c r="M59" s="1941"/>
      <c r="N59" s="1941"/>
      <c r="O59" s="1144"/>
      <c r="P59" s="1006"/>
      <c r="Q59" s="1970"/>
      <c r="R59" s="2027"/>
      <c r="S59" s="2012"/>
      <c r="T59" s="2013"/>
      <c r="U59" s="2014"/>
      <c r="V59" s="2014"/>
      <c r="W59" s="2014"/>
      <c r="X59" s="2014"/>
      <c r="Y59" s="2014"/>
      <c r="Z59" s="2014"/>
      <c r="AA59" s="2014"/>
      <c r="AB59" s="2014"/>
      <c r="AC59" s="2014"/>
      <c r="AD59" s="2014"/>
      <c r="AE59" s="2014"/>
      <c r="AF59" s="2014"/>
      <c r="AG59" s="2014"/>
      <c r="AH59" s="2014"/>
      <c r="AI59" s="2014"/>
      <c r="AJ59" s="2014"/>
      <c r="AK59" s="2014"/>
      <c r="AL59" s="2014"/>
      <c r="AM59" s="2014"/>
      <c r="AN59" s="2014"/>
      <c r="AO59" s="2014"/>
      <c r="AP59" s="2014"/>
      <c r="AQ59" s="2014"/>
      <c r="AR59" s="2014"/>
      <c r="AS59" s="2014"/>
      <c r="AT59" s="2014"/>
      <c r="AU59" s="2014"/>
      <c r="AV59" s="2014"/>
      <c r="AW59" s="2014"/>
      <c r="AX59" s="2014"/>
      <c r="AY59" s="2014"/>
      <c r="AZ59" s="2014"/>
      <c r="BA59" s="2014"/>
      <c r="BB59" s="2014"/>
      <c r="BC59" s="2015"/>
      <c r="BE59" s="1126"/>
      <c r="BF59" s="1126" t="str">
        <f>IF(T59="","",T59)</f>
        <v/>
      </c>
      <c r="BG59" s="1126"/>
      <c r="BH59" s="1126"/>
      <c r="BI59" s="1137">
        <v>0</v>
      </c>
    </row>
    <row s="34658" customFormat="1" customHeight="1" ht="0">
      <c r="A60" s="1969" t="s">
        <v>264</v>
      </c>
      <c r="B60" s="1969" t="s">
        <v>265</v>
      </c>
      <c r="C60" s="1969" t="s">
        <v>266</v>
      </c>
      <c r="D60" s="1940"/>
      <c r="E60" s="2885"/>
      <c r="F60" s="2885"/>
      <c r="G60" s="2884"/>
      <c r="H60" s="1940"/>
      <c r="I60" s="1940"/>
      <c r="J60" s="1940"/>
      <c r="K60" s="1940"/>
      <c r="L60" s="2090"/>
      <c r="M60" s="1941"/>
      <c r="N60" s="1941"/>
      <c r="P60" s="1942"/>
      <c r="Q60" s="1943"/>
      <c r="R60" s="1942"/>
      <c r="S60" s="1948"/>
      <c r="T60" s="1951"/>
      <c r="U60" s="1950"/>
      <c r="V60" s="1950"/>
      <c r="W60" s="1950"/>
      <c r="X60" s="1950"/>
      <c r="Y60" s="1950"/>
      <c r="Z60" s="1950"/>
      <c r="AA60" s="1950"/>
      <c r="AB60" s="1950"/>
      <c r="AC60" s="1950"/>
      <c r="AD60" s="1950"/>
      <c r="AE60" s="1950"/>
      <c r="AF60" s="1950"/>
      <c r="AG60" s="1950"/>
      <c r="AH60" s="1950"/>
      <c r="AI60" s="1950"/>
      <c r="AJ60" s="1950"/>
      <c r="AK60" s="1950"/>
      <c r="AL60" s="1950"/>
      <c r="AM60" s="1950"/>
      <c r="AN60" s="1950"/>
      <c r="AO60" s="1950"/>
      <c r="AP60" s="1950"/>
      <c r="AQ60" s="1950"/>
      <c r="AR60" s="1950"/>
      <c r="AS60" s="1950"/>
      <c r="AT60" s="1950"/>
      <c r="AU60" s="1950"/>
      <c r="AV60" s="1950"/>
      <c r="AW60" s="1950"/>
      <c r="AX60" s="1950"/>
      <c r="AY60" s="1950"/>
      <c r="AZ60" s="1950"/>
      <c r="BA60" s="1950"/>
      <c r="BB60" s="1950"/>
      <c r="BC60" s="1950"/>
      <c r="BE60" s="1415"/>
      <c r="BF60" s="1415" t="str">
        <f>IF(T60="","",T60)</f>
        <v/>
      </c>
      <c r="BG60" s="1415"/>
      <c r="BH60" s="1415"/>
      <c r="BI60" s="1144">
        <v>0</v>
      </c>
    </row>
    <row s="34658" customFormat="1" customHeight="1" ht="0">
      <c r="A61" s="1969" t="s">
        <v>264</v>
      </c>
      <c r="B61" s="1969" t="s">
        <v>265</v>
      </c>
      <c r="C61" s="1940"/>
      <c r="D61" s="1940"/>
      <c r="E61" s="2885"/>
      <c r="F61" s="2884"/>
      <c r="G61" s="1940"/>
      <c r="H61" s="1940"/>
      <c r="I61" s="1940"/>
      <c r="J61" s="1940"/>
      <c r="K61" s="1940"/>
      <c r="L61" s="2090"/>
      <c r="M61" s="1947"/>
      <c r="N61" s="1947"/>
      <c r="P61" s="1942"/>
      <c r="Q61" s="1943"/>
      <c r="R61" s="1942"/>
      <c r="S61" s="1948"/>
      <c r="T61" s="1951" t="s">
        <v>433</v>
      </c>
      <c r="U61" s="1950"/>
      <c r="V61" s="1950"/>
      <c r="W61" s="1950"/>
      <c r="X61" s="1950"/>
      <c r="Y61" s="1950"/>
      <c r="Z61" s="1950"/>
      <c r="AA61" s="1950"/>
      <c r="AB61" s="1950"/>
      <c r="AC61" s="1950"/>
      <c r="AD61" s="1950"/>
      <c r="AE61" s="1950"/>
      <c r="AF61" s="1950"/>
      <c r="AG61" s="1950"/>
      <c r="AH61" s="1950"/>
      <c r="AI61" s="1950"/>
      <c r="AJ61" s="1950"/>
      <c r="AK61" s="1950"/>
      <c r="AL61" s="1950"/>
      <c r="AM61" s="1950"/>
      <c r="AN61" s="1950"/>
      <c r="AO61" s="1950"/>
      <c r="AP61" s="1950"/>
      <c r="AQ61" s="1950"/>
      <c r="AR61" s="1950"/>
      <c r="AS61" s="1950"/>
      <c r="AT61" s="1950"/>
      <c r="AU61" s="1950"/>
      <c r="AV61" s="1950"/>
      <c r="AW61" s="1950"/>
      <c r="AX61" s="1950"/>
      <c r="AY61" s="1950"/>
      <c r="AZ61" s="1950"/>
      <c r="BA61" s="1950"/>
      <c r="BB61" s="1950"/>
      <c r="BC61" s="1950"/>
      <c r="BE61" s="1415"/>
      <c r="BF61" s="1415" t="str">
        <f>IF(T61="","",T61)</f>
        <v>Добавить централизованную систему для дифференциации</v>
      </c>
      <c r="BG61" s="1415"/>
      <c r="BH61" s="1415"/>
      <c r="BI61" s="1144">
        <v>0</v>
      </c>
    </row>
    <row s="34658" customFormat="1" customHeight="1" ht="0">
      <c r="A62" s="1969" t="s">
        <v>264</v>
      </c>
      <c r="B62" s="1969"/>
      <c r="C62" s="1969"/>
      <c r="D62" s="1969"/>
      <c r="E62" s="2884"/>
      <c r="F62" s="1969"/>
      <c r="G62" s="1969"/>
      <c r="H62" s="1969"/>
      <c r="I62" s="1969"/>
      <c r="J62" s="1969"/>
      <c r="K62" s="1969"/>
      <c r="L62" s="1972"/>
      <c r="M62" s="1947"/>
      <c r="N62" s="1947"/>
      <c r="O62" s="1144"/>
      <c r="P62" s="1006"/>
      <c r="Q62" s="1970"/>
      <c r="R62" s="1006"/>
      <c r="S62" s="1948"/>
      <c r="T62" s="1951" t="s">
        <v>434</v>
      </c>
      <c r="U62" s="1950"/>
      <c r="V62" s="1950"/>
      <c r="W62" s="1950"/>
      <c r="X62" s="1950"/>
      <c r="Y62" s="1950"/>
      <c r="Z62" s="1950"/>
      <c r="AA62" s="1950"/>
      <c r="AB62" s="1950"/>
      <c r="AC62" s="1950"/>
      <c r="AD62" s="1950"/>
      <c r="AE62" s="1950"/>
      <c r="AF62" s="1950"/>
      <c r="AG62" s="1950"/>
      <c r="AH62" s="1950"/>
      <c r="AI62" s="1950"/>
      <c r="AJ62" s="1950"/>
      <c r="AK62" s="1950"/>
      <c r="AL62" s="1950"/>
      <c r="AM62" s="1950"/>
      <c r="AN62" s="1950"/>
      <c r="AO62" s="1950"/>
      <c r="AP62" s="1950"/>
      <c r="AQ62" s="1950"/>
      <c r="AR62" s="1950"/>
      <c r="AS62" s="1950"/>
      <c r="AT62" s="1950"/>
      <c r="AU62" s="1950"/>
      <c r="AV62" s="1950"/>
      <c r="AW62" s="1950"/>
      <c r="AX62" s="1950"/>
      <c r="AY62" s="1950"/>
      <c r="AZ62" s="1950"/>
      <c r="BA62" s="1950"/>
      <c r="BB62" s="1950"/>
      <c r="BC62" s="1950"/>
      <c r="BE62" s="1126"/>
      <c r="BF62" s="1126" t="str">
        <f>IF(T62="","",T62)</f>
        <v>Добавить территорию для дифференциации</v>
      </c>
      <c r="BG62" s="1126"/>
      <c r="BH62" s="1126"/>
      <c r="BI62" s="1137">
        <v>0</v>
      </c>
    </row>
    <row s="34658" customFormat="1" customHeight="1" ht="0">
      <c r="A63" s="1940"/>
      <c r="B63" s="1940"/>
      <c r="C63" s="1940"/>
      <c r="D63" s="1940"/>
      <c r="E63" s="1969"/>
      <c r="F63" s="1940"/>
      <c r="G63" s="1940"/>
      <c r="H63" s="1940"/>
      <c r="I63" s="1940"/>
      <c r="J63" s="1940"/>
      <c r="K63" s="1940"/>
      <c r="L63" s="2090"/>
      <c r="M63" s="1947"/>
      <c r="N63" s="1947"/>
      <c r="P63" s="1942"/>
      <c r="Q63" s="1943"/>
      <c r="R63" s="1942"/>
      <c r="S63" s="1948"/>
      <c r="T63" s="1951" t="s">
        <v>466</v>
      </c>
      <c r="U63" s="1950"/>
      <c r="V63" s="1950"/>
      <c r="W63" s="1950"/>
      <c r="X63" s="1950"/>
      <c r="Y63" s="1950"/>
      <c r="Z63" s="1950"/>
      <c r="AA63" s="1950"/>
      <c r="AB63" s="1950"/>
      <c r="AC63" s="1950"/>
      <c r="AD63" s="1950"/>
      <c r="AE63" s="1950"/>
      <c r="AF63" s="1950"/>
      <c r="AG63" s="1950"/>
      <c r="AH63" s="1950"/>
      <c r="AI63" s="1950"/>
      <c r="AJ63" s="1950"/>
      <c r="AK63" s="1950"/>
      <c r="AL63" s="1950"/>
      <c r="AM63" s="1950"/>
      <c r="AN63" s="1950"/>
      <c r="AO63" s="1950"/>
      <c r="AP63" s="1950"/>
      <c r="AQ63" s="1950"/>
      <c r="AR63" s="1950"/>
      <c r="AS63" s="1950"/>
      <c r="AT63" s="1950"/>
      <c r="AU63" s="1950"/>
      <c r="AV63" s="1950"/>
      <c r="AW63" s="1950"/>
      <c r="AX63" s="1950"/>
      <c r="AY63" s="1950"/>
      <c r="AZ63" s="1950"/>
      <c r="BA63" s="1950"/>
      <c r="BB63" s="1950"/>
      <c r="BC63" s="1950"/>
      <c r="BE63" s="1415"/>
      <c r="BF63" s="1415" t="str">
        <f>IF(T63="","",T63)</f>
        <v>Добавить наименование тарифа</v>
      </c>
      <c r="BG63" s="1415"/>
      <c r="BH63" s="1415"/>
      <c r="BI63" s="1144">
        <v>0</v>
      </c>
    </row>
    <row customHeight="1" ht="11.549999999999999">
      <c r="M64" s="1786"/>
      <c r="N64" s="1786"/>
      <c r="O64" s="1163"/>
      <c r="P64" s="1786"/>
      <c r="Q64" s="1786"/>
      <c r="R64" s="1781"/>
      <c r="S64" s="1781"/>
      <c r="BD64" s="1781"/>
      <c r="BE64" s="1781"/>
      <c r="BF64" s="1781"/>
      <c r="BG64" s="1781"/>
      <c r="BH64" s="1781"/>
      <c r="BI64" s="1781">
        <v>11</v>
      </c>
    </row>
    <row customHeight="1" ht="19.95">
      <c r="O65" s="1163"/>
      <c r="S65" s="1879"/>
      <c r="T65" s="2911"/>
      <c r="U65" s="2911"/>
      <c r="V65" s="2911"/>
      <c r="W65" s="2911"/>
      <c r="X65" s="2911"/>
      <c r="Y65" s="2911"/>
      <c r="Z65" s="2911"/>
      <c r="AA65" s="2911"/>
      <c r="AB65" s="2911"/>
      <c r="AC65" s="2911"/>
      <c r="AD65" s="2911"/>
      <c r="AE65" s="2911"/>
      <c r="AF65" s="2911"/>
      <c r="AG65" s="2911"/>
      <c r="AH65" s="2911"/>
      <c r="AI65" s="2911"/>
      <c r="AJ65" s="2911"/>
      <c r="AK65" s="2911"/>
      <c r="AL65" s="2911"/>
      <c r="AM65" s="2911"/>
      <c r="AN65" s="2911"/>
      <c r="AO65" s="2911"/>
      <c r="AP65" s="2911"/>
      <c r="AQ65" s="2911"/>
      <c r="AR65" s="2911"/>
      <c r="AS65" s="2911"/>
      <c r="AT65" s="2911"/>
      <c r="AU65" s="2911"/>
      <c r="AV65" s="2911"/>
      <c r="AW65" s="2911"/>
      <c r="AX65" s="2911"/>
      <c r="AY65" s="2911"/>
      <c r="AZ65" s="2911"/>
      <c r="BA65" s="2911"/>
      <c r="BB65" s="2911"/>
      <c r="BC65" s="2911"/>
      <c r="BI65" s="1781">
        <v>19</v>
      </c>
    </row>
    <row customHeight="1" ht="14.699999999999998">
      <c r="O66" s="1163"/>
      <c r="T66" s="2075"/>
      <c r="U66" s="2075"/>
      <c r="V66" s="2075"/>
      <c r="W66" s="2075"/>
      <c r="X66" s="2075"/>
      <c r="Y66" s="2075"/>
      <c r="Z66" s="2075"/>
      <c r="AA66" s="2075"/>
      <c r="AB66" s="2075"/>
      <c r="AC66" s="2075"/>
      <c r="AD66" s="2075"/>
      <c r="AE66" s="2075"/>
      <c r="AF66" s="2075"/>
      <c r="AG66" s="2075"/>
      <c r="AH66" s="2075"/>
      <c r="AI66" s="2075"/>
      <c r="AJ66" s="2075"/>
      <c r="AK66" s="2075"/>
      <c r="AL66" s="2075"/>
      <c r="AM66" s="2075"/>
      <c r="AN66" s="2075"/>
      <c r="AO66" s="2075"/>
      <c r="AP66" s="2075"/>
      <c r="AQ66" s="2075"/>
      <c r="AR66" s="2075"/>
      <c r="AS66" s="2075"/>
      <c r="AT66" s="2075"/>
      <c r="AU66" s="2075"/>
      <c r="AV66" s="2075"/>
      <c r="AW66" s="2075"/>
      <c r="AX66" s="2075"/>
      <c r="AY66" s="2075"/>
      <c r="AZ66" s="2075"/>
      <c r="BA66" s="2075"/>
      <c r="BB66" s="2075"/>
      <c r="BC66" s="2075"/>
      <c r="BI66" s="1781">
        <v>14</v>
      </c>
    </row>
    <row customHeight="1" ht="19.95">
      <c r="O67" s="1163"/>
      <c r="S67" s="1879"/>
      <c r="T67" s="2911"/>
      <c r="U67" s="2911"/>
      <c r="V67" s="2911"/>
      <c r="W67" s="2911"/>
      <c r="X67" s="2911"/>
      <c r="Y67" s="2911"/>
      <c r="Z67" s="2911"/>
      <c r="AA67" s="2911"/>
      <c r="AB67" s="2911"/>
      <c r="AC67" s="2911"/>
      <c r="AD67" s="2911"/>
      <c r="AE67" s="2911"/>
      <c r="AF67" s="2911"/>
      <c r="AG67" s="2911"/>
      <c r="AH67" s="2911"/>
      <c r="AI67" s="2911"/>
      <c r="AJ67" s="2911"/>
      <c r="AK67" s="2911"/>
      <c r="AL67" s="2911"/>
      <c r="AM67" s="2911"/>
      <c r="AN67" s="2911"/>
      <c r="AO67" s="2911"/>
      <c r="AP67" s="2911"/>
      <c r="AQ67" s="2911"/>
      <c r="AR67" s="2911"/>
      <c r="AS67" s="2911"/>
      <c r="AT67" s="2911"/>
      <c r="AU67" s="2911"/>
      <c r="AV67" s="2911"/>
      <c r="AW67" s="2911"/>
      <c r="AX67" s="2911"/>
      <c r="AY67" s="2911"/>
      <c r="AZ67" s="2911"/>
      <c r="BA67" s="2911"/>
      <c r="BB67" s="2911"/>
      <c r="BC67" s="2911"/>
      <c r="BI67" s="1781">
        <v>19</v>
      </c>
    </row>
    <row customHeight="1" ht="14.699999999999998">
      <c r="O68" s="1163"/>
      <c r="BI68" s="1781">
        <v>14</v>
      </c>
    </row>
    <row customHeight="1" ht="14.25" hidden="1">
      <c r="A69" s="1786" t="s">
        <v>82</v>
      </c>
      <c r="B69" s="1786">
        <v>0</v>
      </c>
      <c r="C69" s="1786">
        <v>0</v>
      </c>
      <c r="D69" s="1786">
        <v>0</v>
      </c>
      <c r="E69" s="1786">
        <v>0</v>
      </c>
      <c r="F69" s="1786">
        <v>0</v>
      </c>
      <c r="G69" s="1786">
        <v>0</v>
      </c>
      <c r="H69" s="1786">
        <v>0</v>
      </c>
      <c r="I69" s="1786">
        <v>0</v>
      </c>
      <c r="J69" s="1786">
        <v>0</v>
      </c>
      <c r="K69" s="1786">
        <v>0</v>
      </c>
      <c r="L69" s="2087">
        <v>0</v>
      </c>
      <c r="M69" s="1988">
        <v>0</v>
      </c>
      <c r="N69" s="1988">
        <v>0</v>
      </c>
      <c r="O69" s="1988">
        <v>0</v>
      </c>
      <c r="P69" s="1988">
        <v>0</v>
      </c>
      <c r="Q69" s="1997">
        <v>0</v>
      </c>
      <c r="R69" s="970">
        <v>3</v>
      </c>
      <c r="S69" s="1207">
        <v>12</v>
      </c>
      <c r="T69" s="1781">
        <v>31</v>
      </c>
      <c r="U69" s="1781">
        <v>0</v>
      </c>
      <c r="V69" s="1781">
        <v>0</v>
      </c>
      <c r="W69" s="1781">
        <v>0</v>
      </c>
      <c r="X69" s="1781">
        <v>0</v>
      </c>
      <c r="Y69" s="1781">
        <v>0</v>
      </c>
      <c r="Z69" s="1781">
        <v>0</v>
      </c>
      <c r="AA69" s="1781">
        <v>0</v>
      </c>
      <c r="AB69" s="1781">
        <v>0</v>
      </c>
      <c r="AC69" s="1781">
        <v>0</v>
      </c>
      <c r="AD69" s="1781">
        <v>3</v>
      </c>
      <c r="AE69" s="1781">
        <v>3</v>
      </c>
      <c r="AF69" s="1781">
        <v>3</v>
      </c>
      <c r="AG69" s="1781">
        <v>24</v>
      </c>
      <c r="AH69" s="1781">
        <v>3</v>
      </c>
      <c r="AI69" s="1781">
        <v>3</v>
      </c>
      <c r="AJ69" s="1781">
        <v>3</v>
      </c>
      <c r="AK69" s="1781">
        <v>24</v>
      </c>
      <c r="AL69" s="1781">
        <v>3</v>
      </c>
      <c r="AM69" s="1781">
        <v>3</v>
      </c>
      <c r="AN69" s="1781">
        <v>3</v>
      </c>
      <c r="AO69" s="1781">
        <v>18</v>
      </c>
      <c r="AP69" s="1781">
        <v>3</v>
      </c>
      <c r="AQ69" s="1781">
        <v>3</v>
      </c>
      <c r="AR69" s="1781">
        <v>3</v>
      </c>
      <c r="AS69" s="1781">
        <v>18</v>
      </c>
      <c r="AT69" s="1781">
        <v>21</v>
      </c>
      <c r="AU69" s="1781">
        <v>21</v>
      </c>
      <c r="AV69" s="1781">
        <v>21</v>
      </c>
      <c r="AW69" s="1781">
        <v>21</v>
      </c>
      <c r="AX69" s="1781">
        <v>11</v>
      </c>
      <c r="AY69" s="1781">
        <v>3</v>
      </c>
      <c r="AZ69" s="1781">
        <v>11</v>
      </c>
      <c r="BA69" s="1781">
        <v>0</v>
      </c>
      <c r="BB69" s="1781">
        <v>4</v>
      </c>
      <c r="BC69" s="1781">
        <v>115</v>
      </c>
      <c r="BD69" s="1137">
        <v>10</v>
      </c>
      <c r="BE69" s="1137">
        <v>10</v>
      </c>
      <c r="BF69" s="1137">
        <v>10</v>
      </c>
      <c r="BG69" s="1137">
        <v>10</v>
      </c>
      <c r="BH69" s="1137">
        <v>10</v>
      </c>
      <c r="BI69" s="1781">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E8CF19-7C29-B095-85B4-CCEFB187D59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4.140625" hidden="1" customWidth="1"/>
    <col min="10" max="10" style="34657" width="9.8515625" hidden="1" customWidth="1"/>
    <col min="11" max="11" style="34657" width="14.71093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5.00390625" customWidth="1"/>
    <col min="21" max="21" style="34580" width="0.140625" customWidth="1"/>
    <col min="22" max="24" style="34580" width="24.7109375" hidden="1" customWidth="1"/>
    <col min="25" max="25" style="34580" width="11.7109375" hidden="1" customWidth="1"/>
    <col min="26" max="26" style="34580" width="3.7109375" hidden="1" customWidth="1"/>
    <col min="27" max="27" style="34580" width="11.7109375" hidden="1" customWidth="1"/>
    <col min="28" max="28" style="34580" width="8.57421875" hidden="1" customWidth="1"/>
    <col min="29" max="29" style="34580" width="24.7109375" customWidth="1"/>
    <col min="30" max="31" style="34580" width="24.00390625" customWidth="1"/>
    <col min="32" max="32" style="34580" width="11.00390625" customWidth="1"/>
    <col min="33" max="33" style="34580" width="3.7109375" customWidth="1"/>
    <col min="34" max="34" style="34580" width="11.00390625" customWidth="1"/>
    <col min="35" max="35" style="34580" width="8.57421875" hidden="1" customWidth="1"/>
    <col min="36" max="36" style="34580" width="4.00390625" customWidth="1"/>
    <col min="37" max="37" style="34580" width="115.00390625" customWidth="1"/>
    <col min="38" max="42" style="34658" width="10.00390625" customWidth="1"/>
    <col min="43" max="43" style="34580" width="10.57421875" hidden="1"/>
  </cols>
  <sheetData>
    <row customHeight="1" ht="22.5" hidden="1">
      <c r="X1" s="953"/>
      <c r="Y1" s="953"/>
      <c r="AE1" s="953"/>
      <c r="AF1" s="953"/>
      <c r="AQ1" s="1781" t="s">
        <v>14</v>
      </c>
    </row>
    <row customHeight="1" ht="23.25" hidden="1">
      <c r="A2" s="1989"/>
      <c r="B2" s="1989"/>
      <c r="C2" s="1989"/>
      <c r="D2" s="1989"/>
      <c r="E2" s="2884">
        <v>1</v>
      </c>
      <c r="F2" s="1989"/>
      <c r="G2" s="1989"/>
      <c r="H2" s="1989"/>
      <c r="I2" s="1989"/>
      <c r="J2" s="1989"/>
      <c r="K2" s="1989"/>
      <c r="L2" s="1990"/>
      <c r="M2" s="1991"/>
      <c r="N2" s="1991"/>
      <c r="O2" s="1991"/>
      <c r="P2" s="987"/>
      <c r="Q2" s="986"/>
      <c r="R2" s="981"/>
      <c r="S2" s="2119">
        <f>INDEX(PT_DIFFERENTIATION_NUM_NTAR,MATCH(A2,PT_DIFFERENTIATION_NTAR_ID,0))</f>
      </c>
      <c r="T2" s="924" t="s">
        <v>143</v>
      </c>
      <c r="U2" s="926"/>
      <c r="V2" s="2868"/>
      <c r="W2" s="2869"/>
      <c r="X2" s="2869"/>
      <c r="Y2" s="2869"/>
      <c r="Z2" s="2869"/>
      <c r="AA2" s="2869"/>
      <c r="AB2" s="2870"/>
      <c r="AC2" s="2868">
        <f>INDEX(PT_DIFFERENTIATION_NTAR,MATCH(A2,PT_DIFFERENTIATION_NTAR_ID,0))</f>
      </c>
      <c r="AD2" s="2869"/>
      <c r="AE2" s="2869"/>
      <c r="AF2" s="2869"/>
      <c r="AG2" s="2869"/>
      <c r="AH2" s="2869"/>
      <c r="AI2" s="2869"/>
      <c r="AJ2" s="2870"/>
      <c r="AK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26"/>
      <c r="AN2" s="1126" t="str">
        <f>IF(T2="","",T2)</f>
        <v>Наименование тарифа</v>
      </c>
      <c r="AO2" s="1126"/>
      <c r="AP2" s="1126"/>
      <c r="AQ2" s="1781">
        <v>0</v>
      </c>
    </row>
    <row customHeight="1" ht="23.25" hidden="1">
      <c r="A3" s="1989"/>
      <c r="B3" s="1989"/>
      <c r="C3" s="1989"/>
      <c r="D3" s="1989"/>
      <c r="E3" s="2885"/>
      <c r="F3" s="2884">
        <v>1</v>
      </c>
      <c r="G3" s="1989"/>
      <c r="H3" s="1989"/>
      <c r="I3" s="1989"/>
      <c r="J3" s="1989"/>
      <c r="K3" s="1989"/>
      <c r="L3" s="1990"/>
      <c r="M3" s="1991"/>
      <c r="N3" s="1991"/>
      <c r="O3" s="1991"/>
      <c r="P3" s="2113"/>
      <c r="Q3" s="978"/>
      <c r="R3" s="979"/>
      <c r="S3" s="2119">
        <f>INDEX(PT_DIFFERENTIATION_NUM_TER,MATCH(B3,PT_DIFFERENTIATION_TER_ID,0))</f>
      </c>
      <c r="T3" s="934" t="s">
        <v>415</v>
      </c>
      <c r="U3" s="926"/>
      <c r="V3" s="2868"/>
      <c r="W3" s="2869"/>
      <c r="X3" s="2869"/>
      <c r="Y3" s="2869"/>
      <c r="Z3" s="2869"/>
      <c r="AA3" s="2869"/>
      <c r="AB3" s="2870"/>
      <c r="AC3" s="2868">
        <f>INDEX(PT_DIFFERENTIATION_TER,MATCH(B3,PT_DIFFERENTIATION_TER_ID,0))</f>
      </c>
      <c r="AD3" s="2869"/>
      <c r="AE3" s="2869"/>
      <c r="AF3" s="2869"/>
      <c r="AG3" s="2869"/>
      <c r="AH3" s="2869"/>
      <c r="AI3" s="2869"/>
      <c r="AJ3" s="2870"/>
      <c r="AK3" s="1884" t="s">
        <v>416</v>
      </c>
      <c r="AM3" s="1126"/>
      <c r="AN3" s="1126" t="str">
        <f>IF(T3="","",T3)</f>
        <v>Территория действия тарифа</v>
      </c>
      <c r="AO3" s="1126"/>
      <c r="AP3" s="1126"/>
      <c r="AQ3" s="1781">
        <v>0</v>
      </c>
    </row>
    <row customHeight="1" ht="23.25" hidden="1">
      <c r="A4" s="1989"/>
      <c r="B4" s="1989"/>
      <c r="C4" s="1989"/>
      <c r="D4" s="1989"/>
      <c r="E4" s="2885"/>
      <c r="F4" s="2885"/>
      <c r="G4" s="2884">
        <v>1</v>
      </c>
      <c r="H4" s="1989"/>
      <c r="I4" s="1989"/>
      <c r="J4" s="1989"/>
      <c r="K4" s="1989"/>
      <c r="L4" s="1990"/>
      <c r="M4" s="1991"/>
      <c r="N4" s="1991"/>
      <c r="O4" s="1991"/>
      <c r="P4" s="980"/>
      <c r="Q4" s="978"/>
      <c r="R4" s="979"/>
      <c r="S4" s="2119">
        <f>INDEX(PT_DIFFERENTIATION_NUM_CS,MATCH(C4,PT_DIFFERENTIATION_CS_ID,0))</f>
      </c>
      <c r="T4" s="935" t="s">
        <v>534</v>
      </c>
      <c r="U4" s="926"/>
      <c r="V4" s="2868"/>
      <c r="W4" s="2869"/>
      <c r="X4" s="2869"/>
      <c r="Y4" s="2869"/>
      <c r="Z4" s="2869"/>
      <c r="AA4" s="2869"/>
      <c r="AB4" s="2870"/>
      <c r="AC4" s="2868">
        <f>INDEX(PT_DIFFERENTIATION_CS,MATCH(C4,PT_DIFFERENTIATION_CS_ID,0))</f>
      </c>
      <c r="AD4" s="2869"/>
      <c r="AE4" s="2869"/>
      <c r="AF4" s="2869"/>
      <c r="AG4" s="2869"/>
      <c r="AH4" s="2869"/>
      <c r="AI4" s="2869"/>
      <c r="AJ4" s="2870"/>
      <c r="AK4" s="1884" t="s">
        <v>535</v>
      </c>
      <c r="AM4" s="1126"/>
      <c r="AN4" s="1126" t="str">
        <f>IF(T4="","",T4)</f>
        <v>Наименование централизованной системы водоотведения</v>
      </c>
      <c r="AO4" s="1126"/>
      <c r="AP4" s="1126"/>
      <c r="AQ4" s="1781">
        <v>0</v>
      </c>
    </row>
    <row customHeight="1" ht="23.25" hidden="1">
      <c r="A5" s="1989"/>
      <c r="B5" s="1989"/>
      <c r="C5" s="1989"/>
      <c r="D5" s="1989"/>
      <c r="E5" s="2885"/>
      <c r="F5" s="2885"/>
      <c r="G5" s="2885"/>
      <c r="H5" s="2885"/>
      <c r="I5" s="2882">
        <f>S4&amp;".1"</f>
      </c>
      <c r="J5" s="1989"/>
      <c r="K5" s="1989"/>
      <c r="L5" s="1990"/>
      <c r="P5" s="2883">
        <v>1</v>
      </c>
      <c r="Q5" s="2107"/>
      <c r="R5" s="982"/>
      <c r="S5" s="2119">
        <f>$I5</f>
      </c>
      <c r="T5" s="911" t="s">
        <v>501</v>
      </c>
      <c r="U5" s="926"/>
      <c r="V5" s="2976"/>
      <c r="W5" s="2977"/>
      <c r="X5" s="2977"/>
      <c r="Y5" s="2977"/>
      <c r="Z5" s="2977"/>
      <c r="AA5" s="2977"/>
      <c r="AB5" s="2978"/>
      <c r="AC5" s="2979"/>
      <c r="AD5" s="2980"/>
      <c r="AE5" s="2980"/>
      <c r="AF5" s="2980"/>
      <c r="AG5" s="2980"/>
      <c r="AH5" s="2980"/>
      <c r="AI5" s="2980"/>
      <c r="AJ5" s="2981"/>
      <c r="AK5" s="1884" t="s">
        <v>502</v>
      </c>
      <c r="AM5" s="1126"/>
      <c r="AN5" s="1126" t="str">
        <f>IF(T5="","",T5)</f>
        <v>Наименование признака дифференциации</v>
      </c>
      <c r="AO5" s="1126"/>
      <c r="AP5" s="1126"/>
      <c r="AQ5" s="1781">
        <v>0</v>
      </c>
    </row>
    <row customHeight="1" ht="23.25" hidden="1">
      <c r="A6" s="1989"/>
      <c r="B6" s="1989"/>
      <c r="C6" s="1989"/>
      <c r="D6" s="1989"/>
      <c r="E6" s="2885"/>
      <c r="F6" s="2885"/>
      <c r="G6" s="2885"/>
      <c r="H6" s="2885"/>
      <c r="I6" s="2912"/>
      <c r="J6" s="2882">
        <f>I5&amp;".1"</f>
      </c>
      <c r="K6" s="1989"/>
      <c r="L6" s="1990" t="s">
        <v>424</v>
      </c>
      <c r="P6" s="2883"/>
      <c r="Q6" s="2883">
        <v>1</v>
      </c>
      <c r="R6" s="983"/>
      <c r="S6" s="2119">
        <f>$J6</f>
      </c>
      <c r="T6" s="912" t="s">
        <v>425</v>
      </c>
      <c r="U6" s="926"/>
      <c r="V6" s="2871"/>
      <c r="W6" s="2872"/>
      <c r="X6" s="2872"/>
      <c r="Y6" s="2872"/>
      <c r="Z6" s="2872"/>
      <c r="AA6" s="2872"/>
      <c r="AB6" s="2873"/>
      <c r="AC6" s="2871"/>
      <c r="AD6" s="2872"/>
      <c r="AE6" s="2872"/>
      <c r="AF6" s="2872"/>
      <c r="AG6" s="2872"/>
      <c r="AH6" s="2872"/>
      <c r="AI6" s="2872"/>
      <c r="AJ6" s="2873"/>
      <c r="AK6" s="1933" t="s">
        <v>503</v>
      </c>
      <c r="AM6" s="1126"/>
      <c r="AN6" s="1126" t="str">
        <f>IF(T6="","",T6)</f>
        <v>Группа потребителей</v>
      </c>
      <c r="AO6" s="1126"/>
      <c r="AP6" s="1126"/>
      <c r="AQ6" s="1781">
        <v>0</v>
      </c>
    </row>
    <row customHeight="1" ht="23.25" hidden="1">
      <c r="A7" s="1989"/>
      <c r="B7" s="1989"/>
      <c r="C7" s="1989"/>
      <c r="D7" s="1989"/>
      <c r="E7" s="2885"/>
      <c r="F7" s="2885"/>
      <c r="G7" s="2885"/>
      <c r="H7" s="2885"/>
      <c r="I7" s="2912"/>
      <c r="J7" s="2912"/>
      <c r="K7" s="2882">
        <f>J6&amp;".1"</f>
      </c>
      <c r="L7" s="1990"/>
      <c r="P7" s="2883"/>
      <c r="Q7" s="2883"/>
      <c r="R7" s="983">
        <v>1</v>
      </c>
      <c r="S7" s="2119">
        <f>$K7</f>
      </c>
      <c r="T7" s="2063"/>
      <c r="U7" s="926"/>
      <c r="V7" s="1377"/>
      <c r="W7" s="1377"/>
      <c r="X7" s="1883"/>
      <c r="Y7" s="2891"/>
      <c r="Z7" s="2733" t="s">
        <v>66</v>
      </c>
      <c r="AA7" s="2891"/>
      <c r="AB7" s="2733" t="s">
        <v>66</v>
      </c>
      <c r="AC7" s="1377"/>
      <c r="AD7" s="1377"/>
      <c r="AE7" s="1883"/>
      <c r="AF7" s="2891"/>
      <c r="AG7" s="2733" t="s">
        <v>66</v>
      </c>
      <c r="AH7" s="2913"/>
      <c r="AI7" s="2733" t="s">
        <v>66</v>
      </c>
      <c r="AJ7" s="2064"/>
      <c r="AK7"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37">
        <f>STRCHECKDATE(V8:AJ8)</f>
      </c>
      <c r="AM7" s="1126"/>
      <c r="AN7" s="1126" t="str">
        <f>IF(T7="","",T7)</f>
        <v/>
      </c>
      <c r="AO7" s="1126"/>
      <c r="AP7" s="1126"/>
      <c r="AQ7" s="1781">
        <v>0</v>
      </c>
    </row>
    <row customHeight="1" ht="14.25" hidden="1">
      <c r="A8" s="1989"/>
      <c r="B8" s="1989"/>
      <c r="C8" s="1989"/>
      <c r="D8" s="1989"/>
      <c r="E8" s="2885"/>
      <c r="F8" s="2885"/>
      <c r="G8" s="2885"/>
      <c r="H8" s="2885"/>
      <c r="I8" s="2912"/>
      <c r="J8" s="2912"/>
      <c r="K8" s="2882"/>
      <c r="L8" s="1990"/>
      <c r="P8" s="2883"/>
      <c r="Q8" s="2883"/>
      <c r="R8" s="983"/>
      <c r="S8" s="2116"/>
      <c r="T8" s="926"/>
      <c r="U8" s="926"/>
      <c r="V8" s="951"/>
      <c r="W8" s="951"/>
      <c r="X8" s="954" t="str">
        <f>Y7&amp;"-"&amp;AA7</f>
        <v>-</v>
      </c>
      <c r="Y8" s="2892"/>
      <c r="Z8" s="2733"/>
      <c r="AA8" s="2892"/>
      <c r="AB8" s="2733"/>
      <c r="AC8" s="951"/>
      <c r="AD8" s="951"/>
      <c r="AE8" s="954" t="str">
        <f>AF7&amp;"-"&amp;AH7</f>
        <v>-</v>
      </c>
      <c r="AF8" s="2892"/>
      <c r="AG8" s="2733"/>
      <c r="AH8" s="2914"/>
      <c r="AI8" s="2733"/>
      <c r="AJ8" s="2065"/>
      <c r="AK8" s="2975"/>
      <c r="AM8" s="1126"/>
      <c r="AN8" s="1126" t="str">
        <f>IF(T8="","",T8)</f>
        <v/>
      </c>
      <c r="AO8" s="1126"/>
      <c r="AP8" s="1126"/>
      <c r="AQ8" s="1781">
        <v>0</v>
      </c>
    </row>
    <row customHeight="1" ht="21" hidden="1">
      <c r="A9" s="1989"/>
      <c r="B9" s="1989"/>
      <c r="C9" s="1989"/>
      <c r="D9" s="1989"/>
      <c r="E9" s="2885"/>
      <c r="F9" s="2885"/>
      <c r="G9" s="2885"/>
      <c r="H9" s="2885"/>
      <c r="I9" s="2912"/>
      <c r="J9" s="2882"/>
      <c r="K9" s="1989"/>
      <c r="L9" s="1990"/>
      <c r="P9" s="2883"/>
      <c r="Q9" s="2883"/>
      <c r="R9" s="982"/>
      <c r="S9" s="1904"/>
      <c r="T9" s="913" t="s">
        <v>504</v>
      </c>
      <c r="U9" s="993"/>
      <c r="V9" s="993"/>
      <c r="W9" s="993"/>
      <c r="X9" s="993"/>
      <c r="Y9" s="993"/>
      <c r="Z9" s="993"/>
      <c r="AA9" s="993"/>
      <c r="AB9" s="993"/>
      <c r="AC9" s="993"/>
      <c r="AD9" s="993"/>
      <c r="AE9" s="993"/>
      <c r="AF9" s="993"/>
      <c r="AG9" s="993"/>
      <c r="AH9" s="993"/>
      <c r="AI9" s="993"/>
      <c r="AJ9" s="993"/>
      <c r="AK9" s="1884" t="s">
        <v>505</v>
      </c>
      <c r="AM9" s="1126"/>
      <c r="AN9" s="1126" t="str">
        <f>IF(T9="","",T9)</f>
        <v>Добавить значение признака дифференциации</v>
      </c>
      <c r="AO9" s="1126"/>
      <c r="AP9" s="1126"/>
      <c r="AQ9" s="1781">
        <v>0</v>
      </c>
    </row>
    <row customHeight="1" ht="21" hidden="1">
      <c r="A10" s="1989"/>
      <c r="B10" s="1989"/>
      <c r="C10" s="1989"/>
      <c r="D10" s="1989"/>
      <c r="E10" s="2885"/>
      <c r="F10" s="2885"/>
      <c r="G10" s="2885"/>
      <c r="H10" s="2885"/>
      <c r="I10" s="2882"/>
      <c r="J10" s="1989"/>
      <c r="K10" s="1989"/>
      <c r="L10" s="1990"/>
      <c r="P10" s="2883"/>
      <c r="Q10" s="2107"/>
      <c r="R10" s="982"/>
      <c r="S10" s="1904"/>
      <c r="T10" s="991" t="s">
        <v>430</v>
      </c>
      <c r="U10" s="993"/>
      <c r="V10" s="993"/>
      <c r="W10" s="993"/>
      <c r="X10" s="993"/>
      <c r="Y10" s="993"/>
      <c r="Z10" s="993"/>
      <c r="AA10" s="993"/>
      <c r="AB10" s="992"/>
      <c r="AC10" s="993"/>
      <c r="AD10" s="993"/>
      <c r="AE10" s="993"/>
      <c r="AF10" s="993"/>
      <c r="AG10" s="993"/>
      <c r="AH10" s="993"/>
      <c r="AI10" s="992"/>
      <c r="AJ10" s="993"/>
      <c r="AK10" s="2066"/>
      <c r="AM10" s="1126"/>
      <c r="AN10" s="1126" t="str">
        <f>IF(T10="","",T10)</f>
        <v>Добавить группу потребителей</v>
      </c>
      <c r="AO10" s="1126"/>
      <c r="AP10" s="1126"/>
      <c r="AQ10" s="1781">
        <v>0</v>
      </c>
    </row>
    <row customHeight="1" ht="21" hidden="1">
      <c r="A11" s="1989"/>
      <c r="B11" s="1989"/>
      <c r="C11" s="1989"/>
      <c r="D11" s="1989"/>
      <c r="E11" s="2885"/>
      <c r="F11" s="2885"/>
      <c r="G11" s="2885"/>
      <c r="H11" s="2884"/>
      <c r="I11" s="1989"/>
      <c r="J11" s="1989"/>
      <c r="K11" s="1989"/>
      <c r="L11" s="1990"/>
      <c r="M11" s="1991"/>
      <c r="N11" s="1991"/>
      <c r="O11" s="1163"/>
      <c r="P11" s="986"/>
      <c r="Q11" s="1001"/>
      <c r="R11" s="981"/>
      <c r="S11" s="1904"/>
      <c r="T11" s="998" t="s">
        <v>506</v>
      </c>
      <c r="U11" s="993"/>
      <c r="V11" s="993"/>
      <c r="W11" s="993"/>
      <c r="X11" s="993"/>
      <c r="Y11" s="993"/>
      <c r="Z11" s="993"/>
      <c r="AA11" s="993"/>
      <c r="AB11" s="992"/>
      <c r="AC11" s="993"/>
      <c r="AD11" s="993"/>
      <c r="AE11" s="993"/>
      <c r="AF11" s="993"/>
      <c r="AG11" s="993"/>
      <c r="AH11" s="993"/>
      <c r="AI11" s="992"/>
      <c r="AJ11" s="993"/>
      <c r="AK11" s="929"/>
      <c r="AM11" s="1126"/>
      <c r="AN11" s="1126" t="str">
        <f>IF(T11="","",T11)</f>
        <v>Добавить наименование признака дифференциации</v>
      </c>
      <c r="AO11" s="1126"/>
      <c r="AP11" s="1126"/>
      <c r="AQ11" s="1781">
        <v>0</v>
      </c>
    </row>
    <row s="34658" customFormat="1" customHeight="1" ht="14.25" hidden="1">
      <c r="A12" s="1969"/>
      <c r="B12" s="1969"/>
      <c r="C12" s="1940"/>
      <c r="D12" s="1940"/>
      <c r="E12" s="2885"/>
      <c r="F12" s="2884"/>
      <c r="G12" s="1940"/>
      <c r="H12" s="1940"/>
      <c r="I12" s="1940"/>
      <c r="J12" s="1940"/>
      <c r="K12" s="1940"/>
      <c r="L12" s="2120"/>
      <c r="M12" s="1947"/>
      <c r="N12" s="1947"/>
      <c r="P12" s="1942"/>
      <c r="Q12" s="1943"/>
      <c r="R12" s="1942"/>
      <c r="S12" s="1948"/>
      <c r="T12" s="1951" t="s">
        <v>433</v>
      </c>
      <c r="U12" s="1950"/>
      <c r="V12" s="1950"/>
      <c r="W12" s="1950"/>
      <c r="X12" s="1950"/>
      <c r="Y12" s="1950"/>
      <c r="Z12" s="1950"/>
      <c r="AA12" s="1950"/>
      <c r="AB12" s="1950"/>
      <c r="AC12" s="1950"/>
      <c r="AD12" s="1950"/>
      <c r="AE12" s="1950"/>
      <c r="AF12" s="1950"/>
      <c r="AG12" s="1950"/>
      <c r="AH12" s="1950"/>
      <c r="AI12" s="1950"/>
      <c r="AJ12" s="1950"/>
      <c r="AK12" s="1950"/>
      <c r="AM12" s="1415"/>
      <c r="AN12" s="1415" t="str">
        <f>IF(T12="","",T12)</f>
        <v>Добавить централизованную систему для дифференциации</v>
      </c>
      <c r="AO12" s="1415"/>
      <c r="AP12" s="1415"/>
      <c r="AQ12" s="1144">
        <v>0</v>
      </c>
    </row>
    <row s="34658" customFormat="1" customHeight="1" ht="14.25" hidden="1">
      <c r="A13" s="1969"/>
      <c r="B13" s="1969"/>
      <c r="C13" s="1969"/>
      <c r="D13" s="1969"/>
      <c r="E13" s="2884"/>
      <c r="F13" s="1969"/>
      <c r="G13" s="1969"/>
      <c r="H13" s="1969"/>
      <c r="I13" s="1969"/>
      <c r="J13" s="1969"/>
      <c r="K13" s="1969"/>
      <c r="L13" s="1972"/>
      <c r="M13" s="1947"/>
      <c r="N13" s="1947"/>
      <c r="O13" s="1144"/>
      <c r="P13" s="1006"/>
      <c r="Q13" s="1970"/>
      <c r="R13" s="1006"/>
      <c r="S13" s="1948"/>
      <c r="T13" s="1951" t="s">
        <v>434</v>
      </c>
      <c r="U13" s="1950"/>
      <c r="V13" s="1950"/>
      <c r="W13" s="1950"/>
      <c r="X13" s="1950"/>
      <c r="Y13" s="1950"/>
      <c r="Z13" s="1950"/>
      <c r="AA13" s="1950"/>
      <c r="AB13" s="1950"/>
      <c r="AC13" s="1950"/>
      <c r="AD13" s="1950"/>
      <c r="AE13" s="1950"/>
      <c r="AF13" s="1950"/>
      <c r="AG13" s="1950"/>
      <c r="AH13" s="1950"/>
      <c r="AI13" s="1950"/>
      <c r="AJ13" s="1950"/>
      <c r="AK13" s="1950"/>
      <c r="AM13" s="1126"/>
      <c r="AN13" s="1126" t="str">
        <f>IF(T13="","",T13)</f>
        <v>Добавить территорию для дифференциации</v>
      </c>
      <c r="AO13" s="1126"/>
      <c r="AP13" s="1126"/>
      <c r="AQ13" s="1137">
        <v>0</v>
      </c>
    </row>
    <row customHeight="1" ht="14.25" hidden="1">
      <c r="AB14" s="953"/>
      <c r="AI14" s="953"/>
      <c r="AQ14" s="1781">
        <v>0</v>
      </c>
    </row>
    <row customHeight="1" ht="14.25" hidden="1">
      <c r="AC15" s="1986"/>
      <c r="AD15" s="1986"/>
      <c r="AE15" s="1987"/>
      <c r="AF15" s="2893"/>
      <c r="AG15" s="2894" t="s">
        <v>66</v>
      </c>
      <c r="AH15" s="2893"/>
      <c r="AI15" s="2894" t="s">
        <v>66</v>
      </c>
      <c r="AQ15" s="1781">
        <v>0</v>
      </c>
    </row>
    <row customHeight="1" ht="14.25" hidden="1">
      <c r="AC16" s="1986"/>
      <c r="AD16" s="1986"/>
      <c r="AE16" s="954" t="str">
        <f>AF15&amp;"-"&amp;AH15</f>
        <v>-</v>
      </c>
      <c r="AF16" s="2894"/>
      <c r="AG16" s="2894"/>
      <c r="AH16" s="2894"/>
      <c r="AI16" s="2894"/>
      <c r="AQ16" s="1781">
        <v>0</v>
      </c>
    </row>
    <row customHeight="1" ht="14.25" hidden="1">
      <c r="AI17" s="953"/>
      <c r="AQ17" s="1781">
        <v>0</v>
      </c>
    </row>
    <row s="34657" customFormat="1" customHeight="1" ht="22.5" hidden="1">
      <c r="L18" s="2104"/>
      <c r="M18" s="1988"/>
      <c r="N18" s="1988"/>
      <c r="O18" s="1993" t="s">
        <v>435</v>
      </c>
      <c r="P18" s="1988"/>
      <c r="Q18" s="1997"/>
      <c r="R18" s="1997"/>
      <c r="S18" s="1355"/>
      <c r="Y18" s="1993"/>
      <c r="AA18" s="1993"/>
      <c r="AB18" s="1992"/>
      <c r="AF18" s="1993"/>
      <c r="AH18" s="1993"/>
      <c r="AI18" s="1992"/>
      <c r="AL18" s="1137"/>
      <c r="AM18" s="1137"/>
      <c r="AN18" s="1137"/>
      <c r="AO18" s="1137"/>
      <c r="AP18" s="1137"/>
      <c r="AQ18" s="1786">
        <v>0</v>
      </c>
    </row>
    <row s="34657" customFormat="1" customHeight="1" ht="14.25" hidden="1">
      <c r="L19" s="2104"/>
      <c r="M19" s="1988"/>
      <c r="N19" s="1988"/>
      <c r="O19" s="1988"/>
      <c r="P19" s="1988"/>
      <c r="Q19" s="1997"/>
      <c r="R19" s="1997"/>
      <c r="S19" s="1355"/>
      <c r="AB19" s="1992"/>
      <c r="AI19" s="1992"/>
      <c r="AL19" s="1137"/>
      <c r="AM19" s="1137"/>
      <c r="AN19" s="1137"/>
      <c r="AO19" s="1137"/>
      <c r="AP19" s="1137"/>
      <c r="AQ19" s="1786">
        <v>0</v>
      </c>
    </row>
    <row s="34657" customFormat="1" customHeight="1" ht="12" hidden="1">
      <c r="L20" s="2104"/>
      <c r="M20" s="1988"/>
      <c r="N20" s="1988"/>
      <c r="O20" s="1990" t="s">
        <v>436</v>
      </c>
      <c r="P20" s="1988"/>
      <c r="Q20" s="2068"/>
      <c r="R20" s="2068"/>
      <c r="S20" s="1355"/>
      <c r="T20" s="1786" t="s">
        <v>437</v>
      </c>
      <c r="Z20" s="812" t="s">
        <v>438</v>
      </c>
      <c r="AB20" s="812" t="s">
        <v>439</v>
      </c>
      <c r="AC20" s="1786" t="s">
        <v>437</v>
      </c>
      <c r="AG20" s="812" t="s">
        <v>440</v>
      </c>
      <c r="AI20" s="812" t="s">
        <v>439</v>
      </c>
      <c r="AQ20" s="1786">
        <v>0</v>
      </c>
    </row>
    <row customHeight="1" ht="14.25" hidden="1">
      <c r="O21" s="1990"/>
      <c r="AQ21" s="1781">
        <v>0</v>
      </c>
    </row>
    <row customHeight="1" ht="14.25" hidden="1">
      <c r="O22" s="1990"/>
      <c r="AQ22" s="1781">
        <v>0</v>
      </c>
    </row>
    <row customHeight="1" ht="14.699999999999998">
      <c r="Q23" s="1002"/>
      <c r="R23" s="1002"/>
      <c r="S23" s="1901"/>
      <c r="T23" s="989"/>
      <c r="U23" s="989"/>
      <c r="V23" s="1135"/>
      <c r="W23" s="1135"/>
      <c r="X23" s="1135"/>
      <c r="Y23" s="1135"/>
      <c r="Z23" s="1135"/>
      <c r="AA23" s="1135"/>
      <c r="AB23" s="1135"/>
      <c r="AC23" s="1135"/>
      <c r="AD23" s="1135"/>
      <c r="AE23" s="1135"/>
      <c r="AF23" s="1135"/>
      <c r="AG23" s="1135"/>
      <c r="AH23" s="1135"/>
      <c r="AI23" s="1135"/>
      <c r="AQ23" s="1781">
        <v>14</v>
      </c>
    </row>
    <row customHeight="1" ht="14.699999999999998">
      <c r="Q24" s="1002"/>
      <c r="R24" s="1002"/>
      <c r="S24" s="28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74"/>
      <c r="U24" s="2874"/>
      <c r="V24" s="2874"/>
      <c r="W24" s="2874"/>
      <c r="X24" s="2874"/>
      <c r="Y24" s="2874"/>
      <c r="Z24" s="2874"/>
      <c r="AA24" s="2874"/>
      <c r="AB24" s="2874"/>
      <c r="AC24" s="2874"/>
      <c r="AD24" s="2874"/>
      <c r="AE24" s="2874"/>
      <c r="AF24" s="2874"/>
      <c r="AG24" s="2874"/>
      <c r="AH24" s="2874"/>
      <c r="AI24" s="1869"/>
      <c r="AQ24" s="1781">
        <v>14</v>
      </c>
    </row>
    <row customHeight="1" ht="14.699999999999998">
      <c r="Q25" s="1002"/>
      <c r="R25" s="1002"/>
      <c r="S25" s="2875" t="str">
        <f>IF(org=0,"Не определено",org)</f>
        <v>АО "ДГК"</v>
      </c>
      <c r="T25" s="2875"/>
      <c r="U25" s="2875"/>
      <c r="V25" s="2875"/>
      <c r="W25" s="2875"/>
      <c r="X25" s="2875"/>
      <c r="Y25" s="2875"/>
      <c r="Z25" s="2875"/>
      <c r="AA25" s="2875"/>
      <c r="AB25" s="2875"/>
      <c r="AC25" s="2875"/>
      <c r="AD25" s="2875"/>
      <c r="AE25" s="2875"/>
      <c r="AF25" s="2875"/>
      <c r="AG25" s="2875"/>
      <c r="AH25" s="2875"/>
      <c r="AI25" s="1869"/>
      <c r="AQ25" s="1781">
        <v>14</v>
      </c>
    </row>
    <row customHeight="1" ht="14.25" hidden="1">
      <c r="Q26" s="1002"/>
      <c r="R26" s="1002"/>
      <c r="S26" s="1901"/>
      <c r="T26" s="989"/>
      <c r="U26" s="989"/>
      <c r="V26" s="948"/>
      <c r="W26" s="948"/>
      <c r="X26" s="948"/>
      <c r="Y26" s="948"/>
      <c r="Z26" s="948"/>
      <c r="AA26" s="948"/>
      <c r="AB26" s="948"/>
      <c r="AC26" s="948"/>
      <c r="AD26" s="948"/>
      <c r="AE26" s="948"/>
      <c r="AF26" s="948"/>
      <c r="AG26" s="948"/>
      <c r="AH26" s="948"/>
      <c r="AI26" s="948"/>
      <c r="AJ26" s="1135"/>
      <c r="AQ26" s="1781">
        <v>0</v>
      </c>
    </row>
    <row s="34794" customFormat="1" customHeight="1" ht="25.5" hidden="1">
      <c r="A27" s="1994"/>
      <c r="B27" s="1994"/>
      <c r="C27" s="1994"/>
      <c r="D27" s="1994"/>
      <c r="E27" s="1994"/>
      <c r="F27" s="1994"/>
      <c r="G27" s="1994"/>
      <c r="H27" s="1994"/>
      <c r="I27" s="1994"/>
      <c r="J27" s="1994"/>
      <c r="K27" s="1994"/>
      <c r="L27" s="1995"/>
      <c r="M27" s="1994"/>
      <c r="N27" s="1994"/>
      <c r="O27" s="1994"/>
      <c r="S27" s="2876" t="s">
        <v>42</v>
      </c>
      <c r="T27" s="2876"/>
      <c r="U27" s="1998"/>
      <c r="V27" s="2877" t="str">
        <f>IF(TITLE_NAME_OR_PR_CHANGE="",IF(TITLE_NAME_OR_PR="","",TITLE_NAME_OR_PR),TITLE_NAME_OR_PR_CHANGE)</f>
        <v/>
      </c>
      <c r="W27" s="2877"/>
      <c r="X27" s="2877"/>
      <c r="Y27" s="2877"/>
      <c r="Z27" s="2877"/>
      <c r="AA27" s="2877"/>
      <c r="AB27" s="952"/>
      <c r="AC27" s="2877" t="str">
        <f>IF(TITLE_NAME_OR_PR_CHANGE="",IF(TITLE_NAME_OR_PR="","",TITLE_NAME_OR_PR),TITLE_NAME_OR_PR_CHANGE)</f>
        <v/>
      </c>
      <c r="AD27" s="2877"/>
      <c r="AE27" s="2877"/>
      <c r="AF27" s="2877"/>
      <c r="AG27" s="2877"/>
      <c r="AH27" s="2877"/>
      <c r="AI27" s="952"/>
      <c r="AJ27" s="952"/>
      <c r="AK27" s="906"/>
      <c r="AL27" s="994"/>
      <c r="AM27" s="994"/>
      <c r="AN27" s="994"/>
      <c r="AO27" s="994"/>
      <c r="AP27" s="994"/>
      <c r="AQ27" s="1044">
        <v>0</v>
      </c>
    </row>
    <row s="34794" customFormat="1" customHeight="1" ht="18.75" hidden="1">
      <c r="A28" s="1994"/>
      <c r="B28" s="1994"/>
      <c r="C28" s="1994"/>
      <c r="D28" s="1994"/>
      <c r="E28" s="1994"/>
      <c r="F28" s="1994"/>
      <c r="G28" s="1994"/>
      <c r="H28" s="1994"/>
      <c r="I28" s="1994"/>
      <c r="J28" s="1994"/>
      <c r="K28" s="1994"/>
      <c r="L28" s="1995"/>
      <c r="M28" s="1994"/>
      <c r="N28" s="1994"/>
      <c r="O28" s="1994"/>
      <c r="S28" s="2876" t="s">
        <v>441</v>
      </c>
      <c r="T28" s="2876"/>
      <c r="U28" s="1998"/>
      <c r="V28" s="2890" t="str">
        <f>IF(TITLE_DATE_PR_CHANGE="",IF(TITLE_DATE_PR="","",TITLE_DATE_PR),TITLE_DATE_PR_CHANGE)</f>
        <v/>
      </c>
      <c r="W28" s="2890"/>
      <c r="X28" s="2890"/>
      <c r="Y28" s="2890"/>
      <c r="Z28" s="2890"/>
      <c r="AA28" s="2890"/>
      <c r="AB28" s="952"/>
      <c r="AC28" s="2890" t="str">
        <f>IF(TITLE_DATE_PR_CHANGE="",IF(TITLE_DATE_PR="","",TITLE_DATE_PR),TITLE_DATE_PR_CHANGE)</f>
        <v/>
      </c>
      <c r="AD28" s="2890"/>
      <c r="AE28" s="2890"/>
      <c r="AF28" s="2890"/>
      <c r="AG28" s="2890"/>
      <c r="AH28" s="2890"/>
      <c r="AI28" s="952"/>
      <c r="AJ28" s="952"/>
      <c r="AK28" s="906"/>
      <c r="AL28" s="994"/>
      <c r="AM28" s="994"/>
      <c r="AN28" s="994"/>
      <c r="AO28" s="994"/>
      <c r="AP28" s="994"/>
      <c r="AQ28" s="1044">
        <v>0</v>
      </c>
    </row>
    <row s="34794" customFormat="1" customHeight="1" ht="18.75" hidden="1">
      <c r="A29" s="1994"/>
      <c r="B29" s="1994"/>
      <c r="C29" s="1994"/>
      <c r="D29" s="1994"/>
      <c r="E29" s="1994"/>
      <c r="F29" s="1994"/>
      <c r="G29" s="1994"/>
      <c r="H29" s="1994"/>
      <c r="I29" s="1994"/>
      <c r="J29" s="1994"/>
      <c r="K29" s="1994"/>
      <c r="L29" s="1995"/>
      <c r="M29" s="1994"/>
      <c r="N29" s="1994"/>
      <c r="O29" s="1994"/>
      <c r="S29" s="2876" t="s">
        <v>442</v>
      </c>
      <c r="T29" s="2876"/>
      <c r="U29" s="1998"/>
      <c r="V29" s="2877" t="str">
        <f>IF(TITLE_NUMBER_PR_CHANGE="",IF(TITLE_NUMBER_PR="","",TITLE_NUMBER_PR),TITLE_NUMBER_PR_CHANGE)</f>
        <v/>
      </c>
      <c r="W29" s="2877"/>
      <c r="X29" s="2877"/>
      <c r="Y29" s="2877"/>
      <c r="Z29" s="2877"/>
      <c r="AA29" s="2877"/>
      <c r="AB29" s="952"/>
      <c r="AC29" s="2877" t="str">
        <f>IF(TITLE_NUMBER_PR_CHANGE="",IF(TITLE_NUMBER_PR="","",TITLE_NUMBER_PR),TITLE_NUMBER_PR_CHANGE)</f>
        <v/>
      </c>
      <c r="AD29" s="2877"/>
      <c r="AE29" s="2877"/>
      <c r="AF29" s="2877"/>
      <c r="AG29" s="2877"/>
      <c r="AH29" s="2877"/>
      <c r="AI29" s="952"/>
      <c r="AJ29" s="952"/>
      <c r="AK29" s="906"/>
      <c r="AL29" s="994"/>
      <c r="AM29" s="994"/>
      <c r="AN29" s="994"/>
      <c r="AO29" s="994"/>
      <c r="AP29" s="994"/>
      <c r="AQ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43</v>
      </c>
      <c r="T30" s="2876"/>
      <c r="U30" s="1998"/>
      <c r="V30" s="2877" t="str">
        <f>IF(TITLE_IST_PUB_CHANGE="",IF(TITLE_IST_PUB="","",TITLE_IST_PUB),TITLE_IST_PUB_CHANGE)</f>
        <v/>
      </c>
      <c r="W30" s="2877"/>
      <c r="X30" s="2877"/>
      <c r="Y30" s="2877"/>
      <c r="Z30" s="2877"/>
      <c r="AA30" s="2877"/>
      <c r="AB30" s="952"/>
      <c r="AC30" s="2877" t="str">
        <f>IF(TITLE_IST_PUB_CHANGE="",IF(TITLE_IST_PUB="","",TITLE_IST_PUB),TITLE_IST_PUB_CHANGE)</f>
        <v/>
      </c>
      <c r="AD30" s="2877"/>
      <c r="AE30" s="2877"/>
      <c r="AF30" s="2877"/>
      <c r="AG30" s="2877"/>
      <c r="AH30" s="2877"/>
      <c r="AI30" s="952"/>
      <c r="AJ30" s="952"/>
      <c r="AK30" s="906"/>
      <c r="AL30" s="994"/>
      <c r="AM30" s="994"/>
      <c r="AN30" s="994"/>
      <c r="AO30" s="994"/>
      <c r="AP30" s="994"/>
      <c r="AQ30" s="1044">
        <v>0</v>
      </c>
    </row>
    <row customHeight="1" ht="14.25" hidden="1">
      <c r="Q31" s="1002"/>
      <c r="R31" s="1002"/>
      <c r="S31" s="1901"/>
      <c r="T31" s="989"/>
      <c r="U31" s="989"/>
      <c r="V31" s="948"/>
      <c r="W31" s="948"/>
      <c r="X31" s="948"/>
      <c r="Y31" s="948"/>
      <c r="Z31" s="948"/>
      <c r="AA31" s="948"/>
      <c r="AB31" s="948"/>
      <c r="AC31" s="948"/>
      <c r="AD31" s="948"/>
      <c r="AE31" s="948"/>
      <c r="AF31" s="948"/>
      <c r="AG31" s="948"/>
      <c r="AH31" s="948"/>
      <c r="AI31" s="948"/>
      <c r="AJ31" s="1135"/>
      <c r="AQ31" s="1781">
        <v>0</v>
      </c>
    </row>
    <row s="34794" customFormat="1" customHeight="1" ht="18.75" hidden="1">
      <c r="A32" s="1994"/>
      <c r="B32" s="1994"/>
      <c r="C32" s="1994"/>
      <c r="D32" s="1994"/>
      <c r="E32" s="1994"/>
      <c r="F32" s="1994"/>
      <c r="G32" s="1994"/>
      <c r="H32" s="1994"/>
      <c r="I32" s="1994"/>
      <c r="J32" s="1994"/>
      <c r="K32" s="1994"/>
      <c r="L32" s="1995"/>
      <c r="M32" s="1994"/>
      <c r="N32" s="1994"/>
      <c r="O32" s="1994"/>
      <c r="S32" s="2876" t="s">
        <v>443</v>
      </c>
      <c r="T32" s="2876"/>
      <c r="U32" s="1998"/>
      <c r="V32" s="2890" t="str">
        <f>IF(TITLE_DATE_PR_CHANGE="",IF(TITLE_DATE_PR="","",TITLE_DATE_PR),TITLE_DATE_PR_CHANGE)</f>
        <v/>
      </c>
      <c r="W32" s="2890"/>
      <c r="X32" s="2890"/>
      <c r="Y32" s="2890"/>
      <c r="Z32" s="2890"/>
      <c r="AA32" s="2890"/>
      <c r="AB32" s="952"/>
      <c r="AC32" s="2890" t="str">
        <f>IF(TITLE_DATE_PR_CHANGE="",IF(TITLE_DATE_PR="","",TITLE_DATE_PR),TITLE_DATE_PR_CHANGE)</f>
        <v/>
      </c>
      <c r="AD32" s="2890"/>
      <c r="AE32" s="2890"/>
      <c r="AF32" s="2890"/>
      <c r="AG32" s="2890"/>
      <c r="AH32" s="2890"/>
      <c r="AI32" s="952"/>
      <c r="AJ32" s="952"/>
      <c r="AK32" s="906"/>
      <c r="AL32" s="994"/>
      <c r="AM32" s="994"/>
      <c r="AN32" s="994"/>
      <c r="AO32" s="994"/>
      <c r="AP32" s="994"/>
      <c r="AQ32" s="1044">
        <v>0</v>
      </c>
    </row>
    <row s="34794" customFormat="1" customHeight="1" ht="18.75" hidden="1">
      <c r="A33" s="1994"/>
      <c r="B33" s="1994"/>
      <c r="C33" s="1994"/>
      <c r="D33" s="1994"/>
      <c r="E33" s="1994"/>
      <c r="F33" s="1994"/>
      <c r="G33" s="1994"/>
      <c r="H33" s="1994"/>
      <c r="I33" s="1994"/>
      <c r="J33" s="1994"/>
      <c r="K33" s="1994"/>
      <c r="L33" s="1995"/>
      <c r="M33" s="1994"/>
      <c r="N33" s="1994"/>
      <c r="O33" s="1994"/>
      <c r="S33" s="2876" t="s">
        <v>444</v>
      </c>
      <c r="T33" s="2876"/>
      <c r="U33" s="1998"/>
      <c r="V33" s="2877" t="str">
        <f>IF(TITLE_NUMBER_PR_CHANGE="",IF(TITLE_NUMBER_PR="","",TITLE_NUMBER_PR),TITLE_NUMBER_PR_CHANGE)</f>
        <v/>
      </c>
      <c r="W33" s="2877"/>
      <c r="X33" s="2877"/>
      <c r="Y33" s="2877"/>
      <c r="Z33" s="2877"/>
      <c r="AA33" s="2877"/>
      <c r="AB33" s="952"/>
      <c r="AC33" s="2877" t="str">
        <f>IF(TITLE_NUMBER_PR_CHANGE="",IF(TITLE_NUMBER_PR="","",TITLE_NUMBER_PR),TITLE_NUMBER_PR_CHANGE)</f>
        <v/>
      </c>
      <c r="AD33" s="2877"/>
      <c r="AE33" s="2877"/>
      <c r="AF33" s="2877"/>
      <c r="AG33" s="2877"/>
      <c r="AH33" s="2877"/>
      <c r="AI33" s="952"/>
      <c r="AJ33" s="952"/>
      <c r="AK33" s="906"/>
      <c r="AL33" s="994"/>
      <c r="AM33" s="994"/>
      <c r="AN33" s="994"/>
      <c r="AO33" s="994"/>
      <c r="AP33" s="994"/>
      <c r="AQ33" s="1044">
        <v>0</v>
      </c>
    </row>
    <row s="34794" customFormat="1" customHeight="1" ht="1.05">
      <c r="A34" s="1994"/>
      <c r="B34" s="1994"/>
      <c r="C34" s="1994"/>
      <c r="D34" s="1994"/>
      <c r="E34" s="1994"/>
      <c r="F34" s="1994"/>
      <c r="G34" s="1994"/>
      <c r="H34" s="1994"/>
      <c r="I34" s="1994"/>
      <c r="J34" s="1994"/>
      <c r="K34" s="1994"/>
      <c r="L34" s="1995"/>
      <c r="M34" s="1994"/>
      <c r="N34" s="1994"/>
      <c r="O34" s="1994"/>
      <c r="S34" s="949"/>
      <c r="T34" s="949"/>
      <c r="U34" s="2114"/>
      <c r="V34" s="952"/>
      <c r="W34" s="952"/>
      <c r="X34" s="952"/>
      <c r="Y34" s="952"/>
      <c r="Z34" s="952"/>
      <c r="AA34" s="952"/>
      <c r="AB34" s="904" t="s">
        <v>445</v>
      </c>
      <c r="AC34" s="952"/>
      <c r="AD34" s="952"/>
      <c r="AE34" s="952"/>
      <c r="AF34" s="952"/>
      <c r="AG34" s="952"/>
      <c r="AH34" s="952"/>
      <c r="AI34" s="904" t="s">
        <v>445</v>
      </c>
      <c r="AL34" s="994"/>
      <c r="AM34" s="994"/>
      <c r="AN34" s="994"/>
      <c r="AO34" s="994"/>
      <c r="AP34" s="994"/>
      <c r="AQ34" s="1044">
        <v>1</v>
      </c>
    </row>
    <row customHeight="1" ht="14.699999999999998">
      <c r="Q35" s="1002"/>
      <c r="R35" s="1002"/>
      <c r="S35" s="1901"/>
      <c r="T35" s="989"/>
      <c r="U35" s="1870"/>
      <c r="V35" s="2878"/>
      <c r="W35" s="2878"/>
      <c r="X35" s="2878"/>
      <c r="Y35" s="2878"/>
      <c r="Z35" s="2878"/>
      <c r="AA35" s="2878"/>
      <c r="AB35" s="2878"/>
      <c r="AC35" s="2878"/>
      <c r="AD35" s="2878"/>
      <c r="AE35" s="2878"/>
      <c r="AF35" s="2878"/>
      <c r="AG35" s="2878"/>
      <c r="AH35" s="2878"/>
      <c r="AI35" s="2878"/>
      <c r="AQ35" s="1781">
        <v>14</v>
      </c>
    </row>
    <row customHeight="1" ht="14.699999999999998">
      <c r="Q36" s="1002"/>
      <c r="R36" s="1002"/>
      <c r="S36" s="2753" t="s">
        <v>318</v>
      </c>
      <c r="T36" s="2753"/>
      <c r="U36" s="2753"/>
      <c r="V36" s="2753"/>
      <c r="W36" s="2753"/>
      <c r="X36" s="2753"/>
      <c r="Y36" s="2753"/>
      <c r="Z36" s="2753"/>
      <c r="AA36" s="2753"/>
      <c r="AB36" s="2753"/>
      <c r="AC36" s="2753"/>
      <c r="AD36" s="2753"/>
      <c r="AE36" s="2753"/>
      <c r="AF36" s="2753"/>
      <c r="AG36" s="2753"/>
      <c r="AH36" s="2753"/>
      <c r="AI36" s="2753"/>
      <c r="AJ36" s="2753"/>
      <c r="AK36" s="2753" t="s">
        <v>319</v>
      </c>
      <c r="AQ36" s="1781">
        <v>14</v>
      </c>
    </row>
    <row customHeight="1" ht="14.699999999999998">
      <c r="Q37" s="1002"/>
      <c r="R37" s="1002"/>
      <c r="S37" s="2899" t="s">
        <v>88</v>
      </c>
      <c r="T37" s="2835" t="s">
        <v>446</v>
      </c>
      <c r="U37" s="927"/>
      <c r="V37" s="2900" t="s">
        <v>447</v>
      </c>
      <c r="W37" s="2901"/>
      <c r="X37" s="2901"/>
      <c r="Y37" s="2901"/>
      <c r="Z37" s="2901"/>
      <c r="AA37" s="2902"/>
      <c r="AB37" s="2903" t="s">
        <v>448</v>
      </c>
      <c r="AC37" s="2900" t="s">
        <v>447</v>
      </c>
      <c r="AD37" s="2901"/>
      <c r="AE37" s="2901"/>
      <c r="AF37" s="2901"/>
      <c r="AG37" s="2901"/>
      <c r="AH37" s="2902"/>
      <c r="AI37" s="2903" t="s">
        <v>449</v>
      </c>
      <c r="AJ37" s="2906" t="s">
        <v>450</v>
      </c>
      <c r="AK37" s="2753"/>
      <c r="AQ37" s="1781">
        <v>14</v>
      </c>
    </row>
    <row customHeight="1" ht="35.699999999999996">
      <c r="Q38" s="1002"/>
      <c r="R38" s="1002"/>
      <c r="S38" s="2899"/>
      <c r="T38" s="2835"/>
      <c r="U38" s="1657"/>
      <c r="V38" s="2109" t="s">
        <v>507</v>
      </c>
      <c r="W38" s="2888" t="s">
        <v>453</v>
      </c>
      <c r="X38" s="2889"/>
      <c r="Y38" s="2888" t="s">
        <v>454</v>
      </c>
      <c r="Z38" s="2895"/>
      <c r="AA38" s="2889"/>
      <c r="AB38" s="2904"/>
      <c r="AC38" s="2109" t="s">
        <v>507</v>
      </c>
      <c r="AD38" s="2888" t="s">
        <v>453</v>
      </c>
      <c r="AE38" s="2889"/>
      <c r="AF38" s="2888" t="s">
        <v>454</v>
      </c>
      <c r="AG38" s="2895"/>
      <c r="AH38" s="2889"/>
      <c r="AI38" s="2904"/>
      <c r="AJ38" s="2907"/>
      <c r="AK38" s="2753"/>
      <c r="AQ38" s="1781">
        <v>34</v>
      </c>
    </row>
    <row customHeight="1" ht="90.3">
      <c r="A39" s="1996"/>
      <c r="B39" s="1996" t="s">
        <v>155</v>
      </c>
      <c r="C39" s="1996" t="s">
        <v>156</v>
      </c>
      <c r="D39" s="1996" t="s">
        <v>157</v>
      </c>
      <c r="E39" s="1990" t="s">
        <v>455</v>
      </c>
      <c r="F39" s="1990" t="s">
        <v>456</v>
      </c>
      <c r="G39" s="1990" t="s">
        <v>457</v>
      </c>
      <c r="H39" s="1990"/>
      <c r="I39" s="1990" t="s">
        <v>508</v>
      </c>
      <c r="J39" s="1990" t="s">
        <v>460</v>
      </c>
      <c r="K39" s="1990" t="s">
        <v>509</v>
      </c>
      <c r="L39" s="1990" t="s">
        <v>436</v>
      </c>
      <c r="Q39" s="1002"/>
      <c r="R39" s="1002"/>
      <c r="S39" s="2899"/>
      <c r="T39" s="2835"/>
      <c r="U39" s="928"/>
      <c r="V39" s="2109" t="s">
        <v>536</v>
      </c>
      <c r="W39" s="1848" t="s">
        <v>537</v>
      </c>
      <c r="X39" s="1848" t="s">
        <v>512</v>
      </c>
      <c r="Y39" s="2115" t="s">
        <v>464</v>
      </c>
      <c r="Z39" s="2896" t="s">
        <v>465</v>
      </c>
      <c r="AA39" s="2897"/>
      <c r="AB39" s="2905"/>
      <c r="AC39" s="2109" t="s">
        <v>536</v>
      </c>
      <c r="AD39" s="1848" t="s">
        <v>537</v>
      </c>
      <c r="AE39" s="1848" t="s">
        <v>512</v>
      </c>
      <c r="AF39" s="2115" t="s">
        <v>464</v>
      </c>
      <c r="AG39" s="2896" t="s">
        <v>465</v>
      </c>
      <c r="AH39" s="2897"/>
      <c r="AI39" s="2905"/>
      <c r="AJ39" s="2908"/>
      <c r="AK39" s="2753"/>
      <c r="AQ39" s="1781">
        <v>86</v>
      </c>
    </row>
    <row s="35197" customFormat="1" customHeight="1" ht="11.25" hidden="1">
      <c r="A40" s="1996"/>
      <c r="B40" s="1996"/>
      <c r="C40" s="1996"/>
      <c r="D40" s="1996"/>
      <c r="E40" s="1996"/>
      <c r="F40" s="1996"/>
      <c r="G40" s="1996"/>
      <c r="H40" s="1996"/>
      <c r="I40" s="1996"/>
      <c r="J40" s="1996"/>
      <c r="K40" s="1996"/>
      <c r="L40" s="1990"/>
      <c r="M40" s="1988"/>
      <c r="N40" s="1988"/>
      <c r="O40" s="1988"/>
      <c r="P40" s="1872"/>
      <c r="Q40" s="1873"/>
      <c r="R40" s="1880">
        <v>1</v>
      </c>
      <c r="S40" s="1903" t="s">
        <v>118</v>
      </c>
      <c r="T40" s="1881" t="s">
        <v>102</v>
      </c>
      <c r="U40" s="1871" t="str">
        <f>OFFSET(U40,0,-1)</f>
        <v>2</v>
      </c>
      <c r="V40" s="2108">
        <f>OFFSET(V40,0,-1)+1</f>
        <v>3</v>
      </c>
      <c r="W40" s="2108">
        <f>OFFSET(W40,0,-1)+1</f>
        <v>4</v>
      </c>
      <c r="X40" s="2108">
        <f>OFFSET(X40,0,-1)+1</f>
        <v>5</v>
      </c>
      <c r="Y40" s="2108">
        <f>OFFSET(Y40,0,-1)+1</f>
        <v>6</v>
      </c>
      <c r="Z40" s="2898">
        <f>OFFSET(Z40,0,-1)+1</f>
        <v>7</v>
      </c>
      <c r="AA40" s="2898"/>
      <c r="AB40" s="2108">
        <f>OFFSET(AB40,0,-2)+1</f>
        <v>8</v>
      </c>
      <c r="AC40" s="2108">
        <f>OFFSET(AC40,0,-1)+1</f>
        <v>9</v>
      </c>
      <c r="AD40" s="2108">
        <f>OFFSET(AD40,0,-1)+1</f>
        <v>10</v>
      </c>
      <c r="AE40" s="2108">
        <f>OFFSET(AE40,0,-1)+1</f>
        <v>11</v>
      </c>
      <c r="AF40" s="2108">
        <f>OFFSET(AF40,0,-1)+1</f>
        <v>12</v>
      </c>
      <c r="AG40" s="2898">
        <f>OFFSET(AG40,0,-1)+1</f>
        <v>13</v>
      </c>
      <c r="AH40" s="2898"/>
      <c r="AI40" s="2108">
        <f>OFFSET(AI40,0,-2)+1</f>
        <v>14</v>
      </c>
      <c r="AJ40" s="1871">
        <f>OFFSET(AJ40,0,-1)</f>
        <v>14</v>
      </c>
      <c r="AK40" s="2108">
        <f>OFFSET(AK40,0,-1)+1</f>
        <v>15</v>
      </c>
      <c r="AL40" s="1137"/>
      <c r="AM40" s="1137"/>
      <c r="AN40" s="1137"/>
      <c r="AO40" s="1137"/>
      <c r="AP40" s="1137"/>
      <c r="AQ40" s="1122">
        <v>0</v>
      </c>
    </row>
    <row customHeight="1" ht="24">
      <c r="A41" s="1989" t="s">
        <v>284</v>
      </c>
      <c r="B41" s="1989"/>
      <c r="C41" s="1989"/>
      <c r="D41" s="1989"/>
      <c r="E41" s="2884">
        <v>1</v>
      </c>
      <c r="F41" s="1989"/>
      <c r="G41" s="1989"/>
      <c r="H41" s="1989"/>
      <c r="I41" s="1989"/>
      <c r="J41" s="1989"/>
      <c r="K41" s="1989"/>
      <c r="L41" s="1990"/>
      <c r="M41" s="1991"/>
      <c r="N41" s="1991"/>
      <c r="O41" s="1991"/>
      <c r="P41" s="987"/>
      <c r="Q41" s="986"/>
      <c r="R41" s="981"/>
      <c r="S41" s="2119">
        <f>INDEX(PT_DIFFERENTIATION_NUM_NTAR,MATCH(A41,PT_DIFFERENTIATION_NTAR_ID,0))</f>
        <v>0</v>
      </c>
      <c r="T41" s="924" t="s">
        <v>143</v>
      </c>
      <c r="U41" s="926"/>
      <c r="V41" s="2868"/>
      <c r="W41" s="2869"/>
      <c r="X41" s="2869"/>
      <c r="Y41" s="2869"/>
      <c r="Z41" s="2869"/>
      <c r="AA41" s="2869"/>
      <c r="AB41" s="2870"/>
      <c r="AC41" s="2868" t="str">
        <f>INDEX(PT_DIFFERENTIATION_NTAR,MATCH(A41,PT_DIFFERENTIATION_NTAR_ID,0))</f>
        <v/>
      </c>
      <c r="AD41" s="2869"/>
      <c r="AE41" s="2869"/>
      <c r="AF41" s="2869"/>
      <c r="AG41" s="2869"/>
      <c r="AH41" s="2869"/>
      <c r="AI41" s="2869"/>
      <c r="AJ41" s="2870"/>
      <c r="AK41"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26"/>
      <c r="AN41" s="1126" t="str">
        <f>IF(T41="","",T41)</f>
        <v>Наименование тарифа</v>
      </c>
      <c r="AO41" s="1126"/>
      <c r="AP41" s="1126"/>
      <c r="AQ41" s="1781">
        <v>23</v>
      </c>
    </row>
    <row customHeight="1" ht="24">
      <c r="A42" s="1989" t="s">
        <v>284</v>
      </c>
      <c r="B42" s="1989" t="s">
        <v>285</v>
      </c>
      <c r="C42" s="1989"/>
      <c r="D42" s="1989"/>
      <c r="E42" s="2885"/>
      <c r="F42" s="2884">
        <v>1</v>
      </c>
      <c r="G42" s="1989"/>
      <c r="H42" s="1989"/>
      <c r="I42" s="1989"/>
      <c r="J42" s="1989"/>
      <c r="K42" s="1989"/>
      <c r="L42" s="1990"/>
      <c r="M42" s="1991"/>
      <c r="N42" s="1991"/>
      <c r="O42" s="1991"/>
      <c r="P42" s="2113"/>
      <c r="Q42" s="978"/>
      <c r="R42" s="979"/>
      <c r="S42" s="2119" t="str">
        <f>INDEX(PT_DIFFERENTIATION_NUM_TER,MATCH(B42,PT_DIFFERENTIATION_TER_ID,0))</f>
        <v>.</v>
      </c>
      <c r="T42" s="934" t="s">
        <v>415</v>
      </c>
      <c r="U42" s="926"/>
      <c r="V42" s="2868"/>
      <c r="W42" s="2869"/>
      <c r="X42" s="2869"/>
      <c r="Y42" s="2869"/>
      <c r="Z42" s="2869"/>
      <c r="AA42" s="2869"/>
      <c r="AB42" s="2870"/>
      <c r="AC42" s="2868" t="str">
        <f>INDEX(PT_DIFFERENTIATION_TER,MATCH(B42,PT_DIFFERENTIATION_TER_ID,0))</f>
        <v/>
      </c>
      <c r="AD42" s="2869"/>
      <c r="AE42" s="2869"/>
      <c r="AF42" s="2869"/>
      <c r="AG42" s="2869"/>
      <c r="AH42" s="2869"/>
      <c r="AI42" s="2869"/>
      <c r="AJ42" s="2870"/>
      <c r="AK42" s="1884" t="s">
        <v>416</v>
      </c>
      <c r="AM42" s="1126"/>
      <c r="AN42" s="1126" t="str">
        <f>IF(T42="","",T42)</f>
        <v>Территория действия тарифа</v>
      </c>
      <c r="AO42" s="1126"/>
      <c r="AP42" s="1126"/>
      <c r="AQ42" s="1781">
        <v>23</v>
      </c>
    </row>
    <row customHeight="1" ht="24">
      <c r="A43" s="1989" t="s">
        <v>284</v>
      </c>
      <c r="B43" s="1989" t="s">
        <v>285</v>
      </c>
      <c r="C43" s="1989" t="s">
        <v>286</v>
      </c>
      <c r="D43" s="1989"/>
      <c r="E43" s="2885"/>
      <c r="F43" s="2885"/>
      <c r="G43" s="2884">
        <v>1</v>
      </c>
      <c r="H43" s="1989"/>
      <c r="I43" s="1989"/>
      <c r="J43" s="1989"/>
      <c r="K43" s="1989"/>
      <c r="L43" s="1990"/>
      <c r="M43" s="1991"/>
      <c r="N43" s="1991"/>
      <c r="O43" s="1991"/>
      <c r="P43" s="980"/>
      <c r="Q43" s="978"/>
      <c r="R43" s="979"/>
      <c r="S43" s="2119" t="str">
        <f>INDEX(PT_DIFFERENTIATION_NUM_CS,MATCH(C43,PT_DIFFERENTIATION_CS_ID,0))</f>
        <v>..</v>
      </c>
      <c r="T43" s="935" t="s">
        <v>534</v>
      </c>
      <c r="U43" s="926"/>
      <c r="V43" s="2868"/>
      <c r="W43" s="2869"/>
      <c r="X43" s="2869"/>
      <c r="Y43" s="2869"/>
      <c r="Z43" s="2869"/>
      <c r="AA43" s="2869"/>
      <c r="AB43" s="2870"/>
      <c r="AC43" s="2868" t="str">
        <f>INDEX(PT_DIFFERENTIATION_CS,MATCH(C43,PT_DIFFERENTIATION_CS_ID,0))</f>
        <v/>
      </c>
      <c r="AD43" s="2869"/>
      <c r="AE43" s="2869"/>
      <c r="AF43" s="2869"/>
      <c r="AG43" s="2869"/>
      <c r="AH43" s="2869"/>
      <c r="AI43" s="2869"/>
      <c r="AJ43" s="2870"/>
      <c r="AK43" s="1884" t="s">
        <v>535</v>
      </c>
      <c r="AM43" s="1126"/>
      <c r="AN43" s="1126" t="str">
        <f>IF(T43="","",T43)</f>
        <v>Наименование централизованной системы водоотведения</v>
      </c>
      <c r="AO43" s="1126"/>
      <c r="AP43" s="1126"/>
      <c r="AQ43" s="1781">
        <v>23</v>
      </c>
    </row>
    <row customHeight="1" ht="24">
      <c r="A44" s="1989" t="s">
        <v>284</v>
      </c>
      <c r="B44" s="1989" t="s">
        <v>285</v>
      </c>
      <c r="C44" s="1989" t="s">
        <v>286</v>
      </c>
      <c r="D44" s="1989" t="s">
        <v>538</v>
      </c>
      <c r="E44" s="2885"/>
      <c r="F44" s="2885"/>
      <c r="G44" s="2885"/>
      <c r="H44" s="2885"/>
      <c r="I44" s="2882" t="str">
        <f>S43&amp;".1"</f>
        <v>...1</v>
      </c>
      <c r="J44" s="1989"/>
      <c r="K44" s="1989"/>
      <c r="L44" s="1990"/>
      <c r="P44" s="2883">
        <v>1</v>
      </c>
      <c r="Q44" s="2107"/>
      <c r="R44" s="982"/>
      <c r="S44" s="2119" t="str">
        <f>$I44</f>
        <v>...1</v>
      </c>
      <c r="T44" s="911" t="s">
        <v>501</v>
      </c>
      <c r="U44" s="926"/>
      <c r="V44" s="2976"/>
      <c r="W44" s="2977"/>
      <c r="X44" s="2977"/>
      <c r="Y44" s="2977"/>
      <c r="Z44" s="2977"/>
      <c r="AA44" s="2977"/>
      <c r="AB44" s="2978"/>
      <c r="AC44" s="2979"/>
      <c r="AD44" s="2980"/>
      <c r="AE44" s="2980"/>
      <c r="AF44" s="2980"/>
      <c r="AG44" s="2980"/>
      <c r="AH44" s="2980"/>
      <c r="AI44" s="2980"/>
      <c r="AJ44" s="2981"/>
      <c r="AK44" s="1884" t="s">
        <v>502</v>
      </c>
      <c r="AM44" s="1126"/>
      <c r="AN44" s="1126" t="str">
        <f>IF(T44="","",T44)</f>
        <v>Наименование признака дифференциации</v>
      </c>
      <c r="AO44" s="1126"/>
      <c r="AP44" s="1126"/>
      <c r="AQ44" s="1781">
        <v>23</v>
      </c>
    </row>
    <row customHeight="1" ht="24">
      <c r="A45" s="1989" t="s">
        <v>284</v>
      </c>
      <c r="B45" s="1989" t="s">
        <v>285</v>
      </c>
      <c r="C45" s="1989" t="s">
        <v>286</v>
      </c>
      <c r="D45" s="1989" t="s">
        <v>538</v>
      </c>
      <c r="E45" s="2885"/>
      <c r="F45" s="2885"/>
      <c r="G45" s="2885"/>
      <c r="H45" s="2885"/>
      <c r="I45" s="2912"/>
      <c r="J45" s="2882" t="str">
        <f>I44&amp;".1"</f>
        <v>...1.1</v>
      </c>
      <c r="K45" s="1989"/>
      <c r="L45" s="1990" t="s">
        <v>424</v>
      </c>
      <c r="P45" s="2883"/>
      <c r="Q45" s="2883">
        <v>1</v>
      </c>
      <c r="R45" s="983"/>
      <c r="S45" s="2119" t="str">
        <f>$J45</f>
        <v>...1.1</v>
      </c>
      <c r="T45" s="912" t="s">
        <v>425</v>
      </c>
      <c r="U45" s="926"/>
      <c r="V45" s="2871"/>
      <c r="W45" s="2872"/>
      <c r="X45" s="2872"/>
      <c r="Y45" s="2872"/>
      <c r="Z45" s="2872"/>
      <c r="AA45" s="2872"/>
      <c r="AB45" s="2873"/>
      <c r="AC45" s="2871"/>
      <c r="AD45" s="2872"/>
      <c r="AE45" s="2872"/>
      <c r="AF45" s="2872"/>
      <c r="AG45" s="2872"/>
      <c r="AH45" s="2872"/>
      <c r="AI45" s="2872"/>
      <c r="AJ45" s="2873"/>
      <c r="AK45" s="1933" t="s">
        <v>503</v>
      </c>
      <c r="AM45" s="1126"/>
      <c r="AN45" s="1126" t="str">
        <f>IF(T45="","",T45)</f>
        <v>Группа потребителей</v>
      </c>
      <c r="AO45" s="1126"/>
      <c r="AP45" s="1126"/>
      <c r="AQ45" s="1781">
        <v>23</v>
      </c>
    </row>
    <row customHeight="1" ht="24">
      <c r="A46" s="1989" t="s">
        <v>284</v>
      </c>
      <c r="B46" s="1989" t="s">
        <v>285</v>
      </c>
      <c r="C46" s="1989" t="s">
        <v>286</v>
      </c>
      <c r="D46" s="1989" t="s">
        <v>538</v>
      </c>
      <c r="E46" s="2885"/>
      <c r="F46" s="2885"/>
      <c r="G46" s="2885"/>
      <c r="H46" s="2885"/>
      <c r="I46" s="2912"/>
      <c r="J46" s="2912"/>
      <c r="K46" s="2882" t="str">
        <f>J45&amp;".1"</f>
        <v>...1.1.1</v>
      </c>
      <c r="L46" s="1990"/>
      <c r="P46" s="2883"/>
      <c r="Q46" s="2883"/>
      <c r="R46" s="983">
        <v>1</v>
      </c>
      <c r="S46" s="2119" t="str">
        <f>$K46</f>
        <v>...1.1.1</v>
      </c>
      <c r="T46" s="2063"/>
      <c r="U46" s="926"/>
      <c r="V46" s="1986"/>
      <c r="W46" s="1986"/>
      <c r="X46" s="1987"/>
      <c r="Y46" s="2893"/>
      <c r="Z46" s="2894" t="s">
        <v>66</v>
      </c>
      <c r="AA46" s="2893"/>
      <c r="AB46" s="2894" t="s">
        <v>66</v>
      </c>
      <c r="AC46" s="1377"/>
      <c r="AD46" s="1377"/>
      <c r="AE46" s="1883"/>
      <c r="AF46" s="2891"/>
      <c r="AG46" s="2733" t="s">
        <v>66</v>
      </c>
      <c r="AH46" s="2913"/>
      <c r="AI46" s="2733" t="s">
        <v>19</v>
      </c>
      <c r="AJ46" s="2064"/>
      <c r="AK46"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37">
        <f>STRCHECKDATE(V47:AJ47)</f>
      </c>
      <c r="AM46" s="1126"/>
      <c r="AN46" s="1126" t="str">
        <f>IF(T46="","",T46)</f>
        <v/>
      </c>
      <c r="AO46" s="1126"/>
      <c r="AP46" s="1126"/>
      <c r="AQ46" s="1781">
        <v>23</v>
      </c>
    </row>
    <row customHeight="1" ht="0">
      <c r="A47" s="1989" t="s">
        <v>284</v>
      </c>
      <c r="B47" s="1989" t="s">
        <v>285</v>
      </c>
      <c r="C47" s="1989" t="s">
        <v>286</v>
      </c>
      <c r="D47" s="1989" t="s">
        <v>538</v>
      </c>
      <c r="E47" s="2885"/>
      <c r="F47" s="2885"/>
      <c r="G47" s="2885"/>
      <c r="H47" s="2885"/>
      <c r="I47" s="2912"/>
      <c r="J47" s="2912"/>
      <c r="K47" s="2882"/>
      <c r="L47" s="1990"/>
      <c r="P47" s="2883"/>
      <c r="Q47" s="2883"/>
      <c r="R47" s="983"/>
      <c r="S47" s="2116"/>
      <c r="T47" s="926"/>
      <c r="U47" s="926"/>
      <c r="V47" s="1986"/>
      <c r="W47" s="1986"/>
      <c r="X47" s="954" t="str">
        <f>Y46&amp;"-"&amp;AA46</f>
        <v>-</v>
      </c>
      <c r="Y47" s="2894"/>
      <c r="Z47" s="2894"/>
      <c r="AA47" s="2894"/>
      <c r="AB47" s="2894"/>
      <c r="AC47" s="951"/>
      <c r="AD47" s="951"/>
      <c r="AE47" s="954" t="str">
        <f>AF46&amp;"-"&amp;AH46</f>
        <v>-</v>
      </c>
      <c r="AF47" s="2892"/>
      <c r="AG47" s="2733"/>
      <c r="AH47" s="2914"/>
      <c r="AI47" s="2733"/>
      <c r="AJ47" s="2065"/>
      <c r="AK47" s="2975"/>
      <c r="AM47" s="1126"/>
      <c r="AN47" s="1126" t="str">
        <f>IF(T47="","",T47)</f>
        <v/>
      </c>
      <c r="AO47" s="1126"/>
      <c r="AP47" s="1126"/>
      <c r="AQ47" s="1781">
        <v>0</v>
      </c>
    </row>
    <row customHeight="1" ht="21">
      <c r="A48" s="1989" t="s">
        <v>284</v>
      </c>
      <c r="B48" s="1989" t="s">
        <v>285</v>
      </c>
      <c r="C48" s="1989" t="s">
        <v>286</v>
      </c>
      <c r="D48" s="1989" t="s">
        <v>538</v>
      </c>
      <c r="E48" s="2885"/>
      <c r="F48" s="2885"/>
      <c r="G48" s="2885"/>
      <c r="H48" s="2885"/>
      <c r="I48" s="2912"/>
      <c r="J48" s="2882"/>
      <c r="K48" s="1989"/>
      <c r="L48" s="1990"/>
      <c r="P48" s="2883"/>
      <c r="Q48" s="2883"/>
      <c r="R48" s="982"/>
      <c r="S48" s="1904"/>
      <c r="T48" s="913" t="s">
        <v>504</v>
      </c>
      <c r="U48" s="993"/>
      <c r="V48" s="993"/>
      <c r="W48" s="993"/>
      <c r="X48" s="993"/>
      <c r="Y48" s="993"/>
      <c r="Z48" s="993"/>
      <c r="AA48" s="993"/>
      <c r="AB48" s="993"/>
      <c r="AC48" s="993"/>
      <c r="AD48" s="993"/>
      <c r="AE48" s="993"/>
      <c r="AF48" s="993"/>
      <c r="AG48" s="993"/>
      <c r="AH48" s="993"/>
      <c r="AI48" s="993"/>
      <c r="AJ48" s="993"/>
      <c r="AK48" s="1884" t="s">
        <v>505</v>
      </c>
      <c r="AM48" s="1126"/>
      <c r="AN48" s="1126" t="str">
        <f>IF(T48="","",T48)</f>
        <v>Добавить значение признака дифференциации</v>
      </c>
      <c r="AO48" s="1126"/>
      <c r="AP48" s="1126"/>
      <c r="AQ48" s="1781">
        <v>20</v>
      </c>
    </row>
    <row customHeight="1" ht="22.049999999999997">
      <c r="A49" s="1989" t="s">
        <v>284</v>
      </c>
      <c r="B49" s="1989" t="s">
        <v>285</v>
      </c>
      <c r="C49" s="1989" t="s">
        <v>286</v>
      </c>
      <c r="D49" s="1989" t="s">
        <v>538</v>
      </c>
      <c r="E49" s="2885"/>
      <c r="F49" s="2885"/>
      <c r="G49" s="2885"/>
      <c r="H49" s="2885"/>
      <c r="I49" s="2882"/>
      <c r="J49" s="1989"/>
      <c r="K49" s="1989"/>
      <c r="L49" s="1990"/>
      <c r="P49" s="2883"/>
      <c r="Q49" s="2107"/>
      <c r="R49" s="982"/>
      <c r="S49" s="1904"/>
      <c r="T49" s="991" t="s">
        <v>430</v>
      </c>
      <c r="U49" s="993"/>
      <c r="V49" s="993"/>
      <c r="W49" s="993"/>
      <c r="X49" s="993"/>
      <c r="Y49" s="993"/>
      <c r="Z49" s="993"/>
      <c r="AA49" s="993"/>
      <c r="AB49" s="992"/>
      <c r="AC49" s="993"/>
      <c r="AD49" s="993"/>
      <c r="AE49" s="993"/>
      <c r="AF49" s="993"/>
      <c r="AG49" s="993"/>
      <c r="AH49" s="993"/>
      <c r="AI49" s="992"/>
      <c r="AJ49" s="993"/>
      <c r="AK49" s="2066"/>
      <c r="AM49" s="1126"/>
      <c r="AN49" s="1126" t="str">
        <f>IF(T49="","",T49)</f>
        <v>Добавить группу потребителей</v>
      </c>
      <c r="AO49" s="1126"/>
      <c r="AP49" s="1126"/>
      <c r="AQ49" s="1781">
        <v>21</v>
      </c>
    </row>
    <row customHeight="1" ht="22.049999999999997">
      <c r="A50" s="1989" t="s">
        <v>284</v>
      </c>
      <c r="B50" s="1989" t="s">
        <v>285</v>
      </c>
      <c r="C50" s="1989" t="s">
        <v>286</v>
      </c>
      <c r="D50" s="1989" t="s">
        <v>538</v>
      </c>
      <c r="E50" s="2885"/>
      <c r="F50" s="2885"/>
      <c r="G50" s="2885"/>
      <c r="H50" s="2884"/>
      <c r="I50" s="1989"/>
      <c r="J50" s="1989"/>
      <c r="K50" s="1989"/>
      <c r="L50" s="1990"/>
      <c r="M50" s="1991"/>
      <c r="N50" s="1991"/>
      <c r="O50" s="1163"/>
      <c r="P50" s="986"/>
      <c r="Q50" s="1001"/>
      <c r="R50" s="981"/>
      <c r="S50" s="1904"/>
      <c r="T50" s="998" t="s">
        <v>506</v>
      </c>
      <c r="U50" s="993"/>
      <c r="V50" s="993"/>
      <c r="W50" s="993"/>
      <c r="X50" s="993"/>
      <c r="Y50" s="993"/>
      <c r="Z50" s="993"/>
      <c r="AA50" s="993"/>
      <c r="AB50" s="992"/>
      <c r="AC50" s="993"/>
      <c r="AD50" s="993"/>
      <c r="AE50" s="993"/>
      <c r="AF50" s="993"/>
      <c r="AG50" s="993"/>
      <c r="AH50" s="993"/>
      <c r="AI50" s="992"/>
      <c r="AJ50" s="993"/>
      <c r="AK50" s="929"/>
      <c r="AM50" s="1126"/>
      <c r="AN50" s="1126" t="str">
        <f>IF(T50="","",T50)</f>
        <v>Добавить наименование признака дифференциации</v>
      </c>
      <c r="AO50" s="1126"/>
      <c r="AP50" s="1126"/>
      <c r="AQ50" s="1781">
        <v>21</v>
      </c>
    </row>
    <row s="34658" customFormat="1" customHeight="1" ht="0">
      <c r="A51" s="1969" t="s">
        <v>284</v>
      </c>
      <c r="B51" s="1969" t="s">
        <v>285</v>
      </c>
      <c r="C51" s="1940"/>
      <c r="D51" s="1940"/>
      <c r="E51" s="2885"/>
      <c r="F51" s="2884"/>
      <c r="G51" s="1940"/>
      <c r="H51" s="1940"/>
      <c r="I51" s="1940"/>
      <c r="J51" s="1940"/>
      <c r="K51" s="1940"/>
      <c r="L51" s="2120"/>
      <c r="M51" s="1947"/>
      <c r="N51" s="1947"/>
      <c r="P51" s="1942"/>
      <c r="Q51" s="1943"/>
      <c r="R51" s="1942"/>
      <c r="S51" s="1948"/>
      <c r="T51" s="1951" t="s">
        <v>433</v>
      </c>
      <c r="U51" s="1950"/>
      <c r="V51" s="1950"/>
      <c r="W51" s="1950"/>
      <c r="X51" s="1950"/>
      <c r="Y51" s="1950"/>
      <c r="Z51" s="1950"/>
      <c r="AA51" s="1950"/>
      <c r="AB51" s="1950"/>
      <c r="AC51" s="1950"/>
      <c r="AD51" s="1950"/>
      <c r="AE51" s="1950"/>
      <c r="AF51" s="1950"/>
      <c r="AG51" s="1950"/>
      <c r="AH51" s="1950"/>
      <c r="AI51" s="1950"/>
      <c r="AJ51" s="1950"/>
      <c r="AK51" s="1950"/>
      <c r="AM51" s="1415"/>
      <c r="AN51" s="1415" t="str">
        <f>IF(T51="","",T51)</f>
        <v>Добавить централизованную систему для дифференциации</v>
      </c>
      <c r="AO51" s="1415"/>
      <c r="AP51" s="1415"/>
      <c r="AQ51" s="1144">
        <v>0</v>
      </c>
    </row>
    <row s="34658" customFormat="1" customHeight="1" ht="0">
      <c r="A52" s="1969" t="s">
        <v>284</v>
      </c>
      <c r="B52" s="1969"/>
      <c r="C52" s="1969"/>
      <c r="D52" s="1969"/>
      <c r="E52" s="2884"/>
      <c r="F52" s="1969"/>
      <c r="G52" s="1969"/>
      <c r="H52" s="1969"/>
      <c r="I52" s="1969"/>
      <c r="J52" s="1969"/>
      <c r="K52" s="1969"/>
      <c r="L52" s="1972"/>
      <c r="M52" s="1947"/>
      <c r="N52" s="1947"/>
      <c r="O52" s="1144"/>
      <c r="P52" s="1006"/>
      <c r="Q52" s="1970"/>
      <c r="R52" s="1006"/>
      <c r="S52" s="1948"/>
      <c r="T52" s="1951" t="s">
        <v>434</v>
      </c>
      <c r="U52" s="1950"/>
      <c r="V52" s="1950"/>
      <c r="W52" s="1950"/>
      <c r="X52" s="1950"/>
      <c r="Y52" s="1950"/>
      <c r="Z52" s="1950"/>
      <c r="AA52" s="1950"/>
      <c r="AB52" s="1950"/>
      <c r="AC52" s="1950"/>
      <c r="AD52" s="1950"/>
      <c r="AE52" s="1950"/>
      <c r="AF52" s="1950"/>
      <c r="AG52" s="1950"/>
      <c r="AH52" s="1950"/>
      <c r="AI52" s="1950"/>
      <c r="AJ52" s="1950"/>
      <c r="AK52" s="1950"/>
      <c r="AM52" s="1126"/>
      <c r="AN52" s="1126" t="str">
        <f>IF(T52="","",T52)</f>
        <v>Добавить территорию для дифференциации</v>
      </c>
      <c r="AO52" s="1126"/>
      <c r="AP52" s="1126"/>
      <c r="AQ52" s="1137">
        <v>0</v>
      </c>
    </row>
    <row s="34658" customFormat="1" customHeight="1" ht="0">
      <c r="A53" s="1940"/>
      <c r="B53" s="1940"/>
      <c r="C53" s="1940"/>
      <c r="D53" s="1940"/>
      <c r="E53" s="1969"/>
      <c r="F53" s="1940"/>
      <c r="G53" s="1940"/>
      <c r="H53" s="1940"/>
      <c r="I53" s="1940"/>
      <c r="J53" s="1940"/>
      <c r="K53" s="1940"/>
      <c r="L53" s="2120"/>
      <c r="M53" s="1947"/>
      <c r="N53" s="1947"/>
      <c r="P53" s="1942"/>
      <c r="Q53" s="1943"/>
      <c r="R53" s="1942"/>
      <c r="S53" s="1948"/>
      <c r="T53" s="1951" t="s">
        <v>466</v>
      </c>
      <c r="U53" s="1950"/>
      <c r="V53" s="1950"/>
      <c r="W53" s="1950"/>
      <c r="X53" s="1950"/>
      <c r="Y53" s="1950"/>
      <c r="Z53" s="1950"/>
      <c r="AA53" s="1950"/>
      <c r="AB53" s="1950"/>
      <c r="AC53" s="1950"/>
      <c r="AD53" s="1950"/>
      <c r="AE53" s="1950"/>
      <c r="AF53" s="1950"/>
      <c r="AG53" s="1950"/>
      <c r="AH53" s="1950"/>
      <c r="AI53" s="1950"/>
      <c r="AJ53" s="1950"/>
      <c r="AK53" s="1950"/>
      <c r="AM53" s="1415"/>
      <c r="AN53" s="1415" t="str">
        <f>IF(T53="","",T53)</f>
        <v>Добавить наименование тарифа</v>
      </c>
      <c r="AO53" s="1415"/>
      <c r="AP53" s="1415"/>
      <c r="AQ53" s="1144">
        <v>0</v>
      </c>
    </row>
    <row customHeight="1" ht="11.549999999999999">
      <c r="M54" s="1786"/>
      <c r="N54" s="1786"/>
      <c r="O54" s="1163"/>
      <c r="P54" s="1781"/>
      <c r="Q54" s="1781"/>
      <c r="R54" s="1781"/>
      <c r="S54" s="1781"/>
      <c r="AL54" s="1781"/>
      <c r="AM54" s="1781"/>
      <c r="AN54" s="1781"/>
      <c r="AO54" s="1781"/>
      <c r="AP54" s="1781"/>
      <c r="AQ54" s="1781">
        <v>11</v>
      </c>
    </row>
    <row customHeight="1" ht="14.699999999999998">
      <c r="O55" s="1163"/>
      <c r="S55" s="1879"/>
      <c r="T55" s="2911"/>
      <c r="U55" s="2911"/>
      <c r="V55" s="2911"/>
      <c r="W55" s="2911"/>
      <c r="X55" s="2911"/>
      <c r="Y55" s="2911"/>
      <c r="Z55" s="2911"/>
      <c r="AA55" s="2911"/>
      <c r="AB55" s="2911"/>
      <c r="AC55" s="2911"/>
      <c r="AD55" s="2911"/>
      <c r="AE55" s="2911"/>
      <c r="AF55" s="2911"/>
      <c r="AG55" s="2911"/>
      <c r="AH55" s="2911"/>
      <c r="AI55" s="2911"/>
      <c r="AJ55" s="2911"/>
      <c r="AK55" s="2911"/>
      <c r="AQ55" s="1781">
        <v>14</v>
      </c>
    </row>
    <row customHeight="1" ht="14.699999999999998">
      <c r="O56" s="1163"/>
      <c r="AQ56" s="1781">
        <v>14</v>
      </c>
    </row>
    <row customHeight="1" ht="14.699999999999998">
      <c r="O57" s="1163"/>
      <c r="S57" s="1879"/>
      <c r="T57" s="2911"/>
      <c r="U57" s="2911"/>
      <c r="V57" s="2911"/>
      <c r="W57" s="2911"/>
      <c r="X57" s="2911"/>
      <c r="Y57" s="2911"/>
      <c r="Z57" s="2911"/>
      <c r="AA57" s="2911"/>
      <c r="AB57" s="2911"/>
      <c r="AC57" s="2911"/>
      <c r="AD57" s="2911"/>
      <c r="AE57" s="2911"/>
      <c r="AF57" s="2911"/>
      <c r="AG57" s="2911"/>
      <c r="AH57" s="2911"/>
      <c r="AI57" s="2911"/>
      <c r="AJ57" s="2911"/>
      <c r="AK57" s="2911"/>
      <c r="AQ57" s="1781">
        <v>14</v>
      </c>
    </row>
    <row customHeight="1" ht="22.5" hidden="1">
      <c r="A58" s="1786" t="s">
        <v>82</v>
      </c>
      <c r="B58" s="1786">
        <v>0</v>
      </c>
      <c r="C58" s="1786">
        <v>0</v>
      </c>
      <c r="D58" s="1786">
        <v>0</v>
      </c>
      <c r="E58" s="1786">
        <v>0</v>
      </c>
      <c r="F58" s="1786">
        <v>0</v>
      </c>
      <c r="G58" s="1786">
        <v>0</v>
      </c>
      <c r="H58" s="1786">
        <v>0</v>
      </c>
      <c r="I58" s="1786">
        <v>0</v>
      </c>
      <c r="J58" s="1786">
        <v>0</v>
      </c>
      <c r="K58" s="1786">
        <v>0</v>
      </c>
      <c r="L58" s="2104">
        <v>0</v>
      </c>
      <c r="M58" s="1988">
        <v>0</v>
      </c>
      <c r="N58" s="1988">
        <v>0</v>
      </c>
      <c r="O58" s="1988">
        <v>0</v>
      </c>
      <c r="P58" s="2099">
        <v>3</v>
      </c>
      <c r="Q58" s="970">
        <v>3</v>
      </c>
      <c r="R58" s="970">
        <v>3</v>
      </c>
      <c r="S58" s="1207">
        <v>12</v>
      </c>
      <c r="T58" s="1781">
        <v>35</v>
      </c>
      <c r="U58" s="1781">
        <v>0</v>
      </c>
      <c r="V58" s="1781">
        <v>0</v>
      </c>
      <c r="W58" s="1781">
        <v>0</v>
      </c>
      <c r="X58" s="1781">
        <v>0</v>
      </c>
      <c r="Y58" s="1781">
        <v>0</v>
      </c>
      <c r="Z58" s="1781">
        <v>0</v>
      </c>
      <c r="AA58" s="1781">
        <v>0</v>
      </c>
      <c r="AB58" s="1781">
        <v>0</v>
      </c>
      <c r="AC58" s="1781">
        <v>24</v>
      </c>
      <c r="AD58" s="1781">
        <v>24</v>
      </c>
      <c r="AE58" s="1781">
        <v>24</v>
      </c>
      <c r="AF58" s="1781">
        <v>11</v>
      </c>
      <c r="AG58" s="1781">
        <v>3</v>
      </c>
      <c r="AH58" s="1781">
        <v>11</v>
      </c>
      <c r="AI58" s="1781">
        <v>0</v>
      </c>
      <c r="AJ58" s="1781">
        <v>4</v>
      </c>
      <c r="AK58" s="1781">
        <v>115</v>
      </c>
      <c r="AL58" s="1137">
        <v>10</v>
      </c>
      <c r="AM58" s="1137">
        <v>10</v>
      </c>
      <c r="AN58" s="1137">
        <v>10</v>
      </c>
      <c r="AO58" s="1137">
        <v>10</v>
      </c>
      <c r="AP58" s="1137">
        <v>10</v>
      </c>
      <c r="AQ58" s="1781">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A425DF-DB3D-F25E-0FBC-96D97A296E8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4.140625" hidden="1" customWidth="1"/>
    <col min="10" max="10" style="34657" width="9.8515625" hidden="1" customWidth="1"/>
    <col min="11" max="11" style="34657" width="14.71093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5.00390625" customWidth="1"/>
    <col min="21" max="21" style="34580" width="0.140625" customWidth="1"/>
    <col min="22" max="24" style="34580" width="24.7109375" hidden="1" customWidth="1"/>
    <col min="25" max="25" style="34580" width="11.7109375" hidden="1" customWidth="1"/>
    <col min="26" max="26" style="34580" width="3.7109375" hidden="1" customWidth="1"/>
    <col min="27" max="27" style="34580" width="11.7109375" hidden="1" customWidth="1"/>
    <col min="28" max="28" style="34580" width="8.57421875" hidden="1" customWidth="1"/>
    <col min="29" max="29" style="34580" width="24.7109375" customWidth="1"/>
    <col min="30" max="31" style="34580" width="24.00390625" customWidth="1"/>
    <col min="32" max="32" style="34580" width="11.00390625" customWidth="1"/>
    <col min="33" max="33" style="34580" width="3.7109375" customWidth="1"/>
    <col min="34" max="34" style="34580" width="11.00390625" customWidth="1"/>
    <col min="35" max="35" style="34580" width="8.57421875" hidden="1" customWidth="1"/>
    <col min="36" max="36" style="34580" width="4.00390625" customWidth="1"/>
    <col min="37" max="37" style="34580" width="115.00390625" customWidth="1"/>
    <col min="38" max="42" style="34658" width="10.00390625" customWidth="1"/>
    <col min="43" max="43" style="34580" width="10.57421875" hidden="1"/>
  </cols>
  <sheetData>
    <row customHeight="1" ht="22.5" hidden="1">
      <c r="X1" s="953"/>
      <c r="Y1" s="953"/>
      <c r="AE1" s="953"/>
      <c r="AF1" s="953"/>
      <c r="AQ1" s="1781" t="s">
        <v>14</v>
      </c>
    </row>
    <row customHeight="1" ht="23.25" hidden="1">
      <c r="A2" s="1989"/>
      <c r="B2" s="1989"/>
      <c r="C2" s="1989"/>
      <c r="D2" s="1989"/>
      <c r="E2" s="2884">
        <v>1</v>
      </c>
      <c r="F2" s="1989"/>
      <c r="G2" s="1989"/>
      <c r="H2" s="1989"/>
      <c r="I2" s="1989"/>
      <c r="J2" s="1989"/>
      <c r="K2" s="1989"/>
      <c r="L2" s="1990"/>
      <c r="M2" s="1991"/>
      <c r="N2" s="1991"/>
      <c r="O2" s="1991"/>
      <c r="P2" s="987"/>
      <c r="Q2" s="986"/>
      <c r="R2" s="981"/>
      <c r="S2" s="2119">
        <f>INDEX(PT_DIFFERENTIATION_NUM_NTAR,MATCH(A2,PT_DIFFERENTIATION_NTAR_ID,0))</f>
      </c>
      <c r="T2" s="924" t="s">
        <v>143</v>
      </c>
      <c r="U2" s="926"/>
      <c r="V2" s="2868"/>
      <c r="W2" s="2869"/>
      <c r="X2" s="2869"/>
      <c r="Y2" s="2869"/>
      <c r="Z2" s="2869"/>
      <c r="AA2" s="2869"/>
      <c r="AB2" s="2870"/>
      <c r="AC2" s="2868">
        <f>INDEX(PT_DIFFERENTIATION_NTAR,MATCH(A2,PT_DIFFERENTIATION_NTAR_ID,0))</f>
      </c>
      <c r="AD2" s="2869"/>
      <c r="AE2" s="2869"/>
      <c r="AF2" s="2869"/>
      <c r="AG2" s="2869"/>
      <c r="AH2" s="2869"/>
      <c r="AI2" s="2869"/>
      <c r="AJ2" s="2870"/>
      <c r="AK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26"/>
      <c r="AN2" s="1126" t="str">
        <f>IF(T2="","",T2)</f>
        <v>Наименование тарифа</v>
      </c>
      <c r="AO2" s="1126"/>
      <c r="AP2" s="1126"/>
      <c r="AQ2" s="1781">
        <v>0</v>
      </c>
    </row>
    <row customHeight="1" ht="23.25" hidden="1">
      <c r="A3" s="1989"/>
      <c r="B3" s="1989"/>
      <c r="C3" s="1989"/>
      <c r="D3" s="1989"/>
      <c r="E3" s="2885"/>
      <c r="F3" s="2884">
        <v>1</v>
      </c>
      <c r="G3" s="1989"/>
      <c r="H3" s="1989"/>
      <c r="I3" s="1989"/>
      <c r="J3" s="1989"/>
      <c r="K3" s="1989"/>
      <c r="L3" s="1990"/>
      <c r="M3" s="1991"/>
      <c r="N3" s="1991"/>
      <c r="O3" s="1991"/>
      <c r="P3" s="2113"/>
      <c r="Q3" s="978"/>
      <c r="R3" s="979"/>
      <c r="S3" s="2119">
        <f>INDEX(PT_DIFFERENTIATION_NUM_TER,MATCH(B3,PT_DIFFERENTIATION_TER_ID,0))</f>
      </c>
      <c r="T3" s="934" t="s">
        <v>415</v>
      </c>
      <c r="U3" s="926"/>
      <c r="V3" s="2868"/>
      <c r="W3" s="2869"/>
      <c r="X3" s="2869"/>
      <c r="Y3" s="2869"/>
      <c r="Z3" s="2869"/>
      <c r="AA3" s="2869"/>
      <c r="AB3" s="2870"/>
      <c r="AC3" s="2868">
        <f>INDEX(PT_DIFFERENTIATION_TER,MATCH(B3,PT_DIFFERENTIATION_TER_ID,0))</f>
      </c>
      <c r="AD3" s="2869"/>
      <c r="AE3" s="2869"/>
      <c r="AF3" s="2869"/>
      <c r="AG3" s="2869"/>
      <c r="AH3" s="2869"/>
      <c r="AI3" s="2869"/>
      <c r="AJ3" s="2870"/>
      <c r="AK3" s="1884" t="s">
        <v>416</v>
      </c>
      <c r="AM3" s="1126"/>
      <c r="AN3" s="1126" t="str">
        <f>IF(T3="","",T3)</f>
        <v>Территория действия тарифа</v>
      </c>
      <c r="AO3" s="1126"/>
      <c r="AP3" s="1126"/>
      <c r="AQ3" s="1781">
        <v>0</v>
      </c>
    </row>
    <row customHeight="1" ht="23.25" hidden="1">
      <c r="A4" s="1989"/>
      <c r="B4" s="1989"/>
      <c r="C4" s="1989"/>
      <c r="D4" s="1989"/>
      <c r="E4" s="2885"/>
      <c r="F4" s="2885"/>
      <c r="G4" s="2884">
        <v>1</v>
      </c>
      <c r="H4" s="1989"/>
      <c r="I4" s="1989"/>
      <c r="J4" s="1989"/>
      <c r="K4" s="1989"/>
      <c r="L4" s="1990"/>
      <c r="M4" s="1991"/>
      <c r="N4" s="1991"/>
      <c r="O4" s="1991"/>
      <c r="P4" s="980"/>
      <c r="Q4" s="978"/>
      <c r="R4" s="979"/>
      <c r="S4" s="2119">
        <f>INDEX(PT_DIFFERENTIATION_NUM_CS,MATCH(C4,PT_DIFFERENTIATION_CS_ID,0))</f>
      </c>
      <c r="T4" s="935" t="s">
        <v>534</v>
      </c>
      <c r="U4" s="926"/>
      <c r="V4" s="2868"/>
      <c r="W4" s="2869"/>
      <c r="X4" s="2869"/>
      <c r="Y4" s="2869"/>
      <c r="Z4" s="2869"/>
      <c r="AA4" s="2869"/>
      <c r="AB4" s="2870"/>
      <c r="AC4" s="2868">
        <f>INDEX(PT_DIFFERENTIATION_CS,MATCH(C4,PT_DIFFERENTIATION_CS_ID,0))</f>
      </c>
      <c r="AD4" s="2869"/>
      <c r="AE4" s="2869"/>
      <c r="AF4" s="2869"/>
      <c r="AG4" s="2869"/>
      <c r="AH4" s="2869"/>
      <c r="AI4" s="2869"/>
      <c r="AJ4" s="2870"/>
      <c r="AK4" s="1884" t="s">
        <v>535</v>
      </c>
      <c r="AM4" s="1126"/>
      <c r="AN4" s="1126" t="str">
        <f>IF(T4="","",T4)</f>
        <v>Наименование централизованной системы водоотведения</v>
      </c>
      <c r="AO4" s="1126"/>
      <c r="AP4" s="1126"/>
      <c r="AQ4" s="1781">
        <v>0</v>
      </c>
    </row>
    <row customHeight="1" ht="23.25" hidden="1">
      <c r="A5" s="1989"/>
      <c r="B5" s="1989"/>
      <c r="C5" s="1989"/>
      <c r="D5" s="1989"/>
      <c r="E5" s="2885"/>
      <c r="F5" s="2885"/>
      <c r="G5" s="2885"/>
      <c r="H5" s="2885"/>
      <c r="I5" s="2882">
        <f>S4&amp;".1"</f>
      </c>
      <c r="J5" s="1989"/>
      <c r="K5" s="1989"/>
      <c r="L5" s="1990"/>
      <c r="P5" s="2883">
        <v>1</v>
      </c>
      <c r="Q5" s="2107"/>
      <c r="R5" s="982"/>
      <c r="S5" s="2119">
        <f>$I5</f>
      </c>
      <c r="T5" s="911" t="s">
        <v>501</v>
      </c>
      <c r="U5" s="926"/>
      <c r="V5" s="2976"/>
      <c r="W5" s="2977"/>
      <c r="X5" s="2977"/>
      <c r="Y5" s="2977"/>
      <c r="Z5" s="2977"/>
      <c r="AA5" s="2977"/>
      <c r="AB5" s="2978"/>
      <c r="AC5" s="2979"/>
      <c r="AD5" s="2980"/>
      <c r="AE5" s="2980"/>
      <c r="AF5" s="2980"/>
      <c r="AG5" s="2980"/>
      <c r="AH5" s="2980"/>
      <c r="AI5" s="2980"/>
      <c r="AJ5" s="2981"/>
      <c r="AK5" s="1884" t="s">
        <v>502</v>
      </c>
      <c r="AM5" s="1126"/>
      <c r="AN5" s="1126" t="str">
        <f>IF(T5="","",T5)</f>
        <v>Наименование признака дифференциации</v>
      </c>
      <c r="AO5" s="1126"/>
      <c r="AP5" s="1126"/>
      <c r="AQ5" s="1781">
        <v>0</v>
      </c>
    </row>
    <row customHeight="1" ht="23.25" hidden="1">
      <c r="A6" s="1989"/>
      <c r="B6" s="1989"/>
      <c r="C6" s="1989"/>
      <c r="D6" s="1989"/>
      <c r="E6" s="2885"/>
      <c r="F6" s="2885"/>
      <c r="G6" s="2885"/>
      <c r="H6" s="2885"/>
      <c r="I6" s="2912"/>
      <c r="J6" s="2882">
        <f>I5&amp;".1"</f>
      </c>
      <c r="K6" s="1989"/>
      <c r="L6" s="1990" t="s">
        <v>424</v>
      </c>
      <c r="P6" s="2883"/>
      <c r="Q6" s="2883">
        <v>1</v>
      </c>
      <c r="R6" s="983"/>
      <c r="S6" s="2119">
        <f>$J6</f>
      </c>
      <c r="T6" s="912" t="s">
        <v>425</v>
      </c>
      <c r="U6" s="926"/>
      <c r="V6" s="2871"/>
      <c r="W6" s="2872"/>
      <c r="X6" s="2872"/>
      <c r="Y6" s="2872"/>
      <c r="Z6" s="2872"/>
      <c r="AA6" s="2872"/>
      <c r="AB6" s="2873"/>
      <c r="AC6" s="2871"/>
      <c r="AD6" s="2872"/>
      <c r="AE6" s="2872"/>
      <c r="AF6" s="2872"/>
      <c r="AG6" s="2872"/>
      <c r="AH6" s="2872"/>
      <c r="AI6" s="2872"/>
      <c r="AJ6" s="2873"/>
      <c r="AK6" s="1933" t="s">
        <v>503</v>
      </c>
      <c r="AM6" s="1126"/>
      <c r="AN6" s="1126" t="str">
        <f>IF(T6="","",T6)</f>
        <v>Группа потребителей</v>
      </c>
      <c r="AO6" s="1126"/>
      <c r="AP6" s="1126"/>
      <c r="AQ6" s="1781">
        <v>0</v>
      </c>
    </row>
    <row customHeight="1" ht="23.25" hidden="1">
      <c r="A7" s="1989"/>
      <c r="B7" s="1989"/>
      <c r="C7" s="1989"/>
      <c r="D7" s="1989"/>
      <c r="E7" s="2885"/>
      <c r="F7" s="2885"/>
      <c r="G7" s="2885"/>
      <c r="H7" s="2885"/>
      <c r="I7" s="2912"/>
      <c r="J7" s="2912"/>
      <c r="K7" s="2882">
        <f>J6&amp;".1"</f>
      </c>
      <c r="L7" s="1990"/>
      <c r="P7" s="2883"/>
      <c r="Q7" s="2883"/>
      <c r="R7" s="983">
        <v>1</v>
      </c>
      <c r="S7" s="2119">
        <f>$K7</f>
      </c>
      <c r="T7" s="2063"/>
      <c r="U7" s="926"/>
      <c r="V7" s="1377"/>
      <c r="W7" s="1377"/>
      <c r="X7" s="1883"/>
      <c r="Y7" s="2891"/>
      <c r="Z7" s="2733" t="s">
        <v>66</v>
      </c>
      <c r="AA7" s="2891"/>
      <c r="AB7" s="2733" t="s">
        <v>66</v>
      </c>
      <c r="AC7" s="1377"/>
      <c r="AD7" s="1377"/>
      <c r="AE7" s="1883"/>
      <c r="AF7" s="2891"/>
      <c r="AG7" s="2733" t="s">
        <v>66</v>
      </c>
      <c r="AH7" s="2913"/>
      <c r="AI7" s="2733" t="s">
        <v>66</v>
      </c>
      <c r="AJ7" s="2064"/>
      <c r="AK7"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37">
        <f>STRCHECKDATE(V8:AJ8)</f>
      </c>
      <c r="AM7" s="1126"/>
      <c r="AN7" s="1126" t="str">
        <f>IF(T7="","",T7)</f>
        <v/>
      </c>
      <c r="AO7" s="1126"/>
      <c r="AP7" s="1126"/>
      <c r="AQ7" s="1781">
        <v>0</v>
      </c>
    </row>
    <row customHeight="1" ht="14.25" hidden="1">
      <c r="A8" s="1989"/>
      <c r="B8" s="1989"/>
      <c r="C8" s="1989"/>
      <c r="D8" s="1989"/>
      <c r="E8" s="2885"/>
      <c r="F8" s="2885"/>
      <c r="G8" s="2885"/>
      <c r="H8" s="2885"/>
      <c r="I8" s="2912"/>
      <c r="J8" s="2912"/>
      <c r="K8" s="2882"/>
      <c r="L8" s="1990"/>
      <c r="P8" s="2883"/>
      <c r="Q8" s="2883"/>
      <c r="R8" s="983"/>
      <c r="S8" s="2116"/>
      <c r="T8" s="926"/>
      <c r="U8" s="926"/>
      <c r="V8" s="951"/>
      <c r="W8" s="951"/>
      <c r="X8" s="954" t="str">
        <f>Y7&amp;"-"&amp;AA7</f>
        <v>-</v>
      </c>
      <c r="Y8" s="2892"/>
      <c r="Z8" s="2733"/>
      <c r="AA8" s="2892"/>
      <c r="AB8" s="2733"/>
      <c r="AC8" s="951"/>
      <c r="AD8" s="951"/>
      <c r="AE8" s="954" t="str">
        <f>AF7&amp;"-"&amp;AH7</f>
        <v>-</v>
      </c>
      <c r="AF8" s="2892"/>
      <c r="AG8" s="2733"/>
      <c r="AH8" s="2914"/>
      <c r="AI8" s="2733"/>
      <c r="AJ8" s="2065"/>
      <c r="AK8" s="2975"/>
      <c r="AM8" s="1126"/>
      <c r="AN8" s="1126" t="str">
        <f>IF(T8="","",T8)</f>
        <v/>
      </c>
      <c r="AO8" s="1126"/>
      <c r="AP8" s="1126"/>
      <c r="AQ8" s="1781">
        <v>0</v>
      </c>
    </row>
    <row customHeight="1" ht="21" hidden="1">
      <c r="A9" s="1989"/>
      <c r="B9" s="1989"/>
      <c r="C9" s="1989"/>
      <c r="D9" s="1989"/>
      <c r="E9" s="2885"/>
      <c r="F9" s="2885"/>
      <c r="G9" s="2885"/>
      <c r="H9" s="2885"/>
      <c r="I9" s="2912"/>
      <c r="J9" s="2882"/>
      <c r="K9" s="1989"/>
      <c r="L9" s="1990"/>
      <c r="P9" s="2883"/>
      <c r="Q9" s="2883"/>
      <c r="R9" s="982"/>
      <c r="S9" s="1904"/>
      <c r="T9" s="913" t="s">
        <v>504</v>
      </c>
      <c r="U9" s="993"/>
      <c r="V9" s="993"/>
      <c r="W9" s="993"/>
      <c r="X9" s="993"/>
      <c r="Y9" s="993"/>
      <c r="Z9" s="993"/>
      <c r="AA9" s="993"/>
      <c r="AB9" s="993"/>
      <c r="AC9" s="993"/>
      <c r="AD9" s="993"/>
      <c r="AE9" s="993"/>
      <c r="AF9" s="993"/>
      <c r="AG9" s="993"/>
      <c r="AH9" s="993"/>
      <c r="AI9" s="993"/>
      <c r="AJ9" s="993"/>
      <c r="AK9" s="1884" t="s">
        <v>505</v>
      </c>
      <c r="AM9" s="1126"/>
      <c r="AN9" s="1126" t="str">
        <f>IF(T9="","",T9)</f>
        <v>Добавить значение признака дифференциации</v>
      </c>
      <c r="AO9" s="1126"/>
      <c r="AP9" s="1126"/>
      <c r="AQ9" s="1781">
        <v>0</v>
      </c>
    </row>
    <row customHeight="1" ht="21" hidden="1">
      <c r="A10" s="1989"/>
      <c r="B10" s="1989"/>
      <c r="C10" s="1989"/>
      <c r="D10" s="1989"/>
      <c r="E10" s="2885"/>
      <c r="F10" s="2885"/>
      <c r="G10" s="2885"/>
      <c r="H10" s="2885"/>
      <c r="I10" s="2882"/>
      <c r="J10" s="1989"/>
      <c r="K10" s="1989"/>
      <c r="L10" s="1990"/>
      <c r="P10" s="2883"/>
      <c r="Q10" s="2107"/>
      <c r="R10" s="982"/>
      <c r="S10" s="1904"/>
      <c r="T10" s="991" t="s">
        <v>430</v>
      </c>
      <c r="U10" s="993"/>
      <c r="V10" s="993"/>
      <c r="W10" s="993"/>
      <c r="X10" s="993"/>
      <c r="Y10" s="993"/>
      <c r="Z10" s="993"/>
      <c r="AA10" s="993"/>
      <c r="AB10" s="992"/>
      <c r="AC10" s="993"/>
      <c r="AD10" s="993"/>
      <c r="AE10" s="993"/>
      <c r="AF10" s="993"/>
      <c r="AG10" s="993"/>
      <c r="AH10" s="993"/>
      <c r="AI10" s="992"/>
      <c r="AJ10" s="993"/>
      <c r="AK10" s="2066"/>
      <c r="AM10" s="1126"/>
      <c r="AN10" s="1126" t="str">
        <f>IF(T10="","",T10)</f>
        <v>Добавить группу потребителей</v>
      </c>
      <c r="AO10" s="1126"/>
      <c r="AP10" s="1126"/>
      <c r="AQ10" s="1781">
        <v>0</v>
      </c>
    </row>
    <row customHeight="1" ht="21" hidden="1">
      <c r="A11" s="1989"/>
      <c r="B11" s="1989"/>
      <c r="C11" s="1989"/>
      <c r="D11" s="1989"/>
      <c r="E11" s="2885"/>
      <c r="F11" s="2885"/>
      <c r="G11" s="2885"/>
      <c r="H11" s="2884"/>
      <c r="I11" s="1989"/>
      <c r="J11" s="1989"/>
      <c r="K11" s="1989"/>
      <c r="L11" s="1990"/>
      <c r="M11" s="1991"/>
      <c r="N11" s="1991"/>
      <c r="O11" s="1163"/>
      <c r="P11" s="986"/>
      <c r="Q11" s="1001"/>
      <c r="R11" s="981"/>
      <c r="S11" s="1904"/>
      <c r="T11" s="998" t="s">
        <v>506</v>
      </c>
      <c r="U11" s="993"/>
      <c r="V11" s="993"/>
      <c r="W11" s="993"/>
      <c r="X11" s="993"/>
      <c r="Y11" s="993"/>
      <c r="Z11" s="993"/>
      <c r="AA11" s="993"/>
      <c r="AB11" s="992"/>
      <c r="AC11" s="993"/>
      <c r="AD11" s="993"/>
      <c r="AE11" s="993"/>
      <c r="AF11" s="993"/>
      <c r="AG11" s="993"/>
      <c r="AH11" s="993"/>
      <c r="AI11" s="992"/>
      <c r="AJ11" s="993"/>
      <c r="AK11" s="929"/>
      <c r="AM11" s="1126"/>
      <c r="AN11" s="1126" t="str">
        <f>IF(T11="","",T11)</f>
        <v>Добавить наименование признака дифференциации</v>
      </c>
      <c r="AO11" s="1126"/>
      <c r="AP11" s="1126"/>
      <c r="AQ11" s="1781">
        <v>0</v>
      </c>
    </row>
    <row s="34658" customFormat="1" customHeight="1" ht="14.25" hidden="1">
      <c r="A12" s="1969"/>
      <c r="B12" s="1969"/>
      <c r="C12" s="1940"/>
      <c r="D12" s="1940"/>
      <c r="E12" s="2885"/>
      <c r="F12" s="2884"/>
      <c r="G12" s="1940"/>
      <c r="H12" s="1940"/>
      <c r="I12" s="1940"/>
      <c r="J12" s="1940"/>
      <c r="K12" s="1940"/>
      <c r="L12" s="2120"/>
      <c r="M12" s="1947"/>
      <c r="N12" s="1947"/>
      <c r="P12" s="1942"/>
      <c r="Q12" s="1943"/>
      <c r="R12" s="1942"/>
      <c r="S12" s="1948"/>
      <c r="T12" s="1951" t="s">
        <v>433</v>
      </c>
      <c r="U12" s="1950"/>
      <c r="V12" s="1950"/>
      <c r="W12" s="1950"/>
      <c r="X12" s="1950"/>
      <c r="Y12" s="1950"/>
      <c r="Z12" s="1950"/>
      <c r="AA12" s="1950"/>
      <c r="AB12" s="1950"/>
      <c r="AC12" s="1950"/>
      <c r="AD12" s="1950"/>
      <c r="AE12" s="1950"/>
      <c r="AF12" s="1950"/>
      <c r="AG12" s="1950"/>
      <c r="AH12" s="1950"/>
      <c r="AI12" s="1950"/>
      <c r="AJ12" s="1950"/>
      <c r="AK12" s="1950"/>
      <c r="AM12" s="1415"/>
      <c r="AN12" s="1415" t="str">
        <f>IF(T12="","",T12)</f>
        <v>Добавить централизованную систему для дифференциации</v>
      </c>
      <c r="AO12" s="1415"/>
      <c r="AP12" s="1415"/>
      <c r="AQ12" s="1144">
        <v>0</v>
      </c>
    </row>
    <row s="34658" customFormat="1" customHeight="1" ht="14.25" hidden="1">
      <c r="A13" s="1969"/>
      <c r="B13" s="1969"/>
      <c r="C13" s="1969"/>
      <c r="D13" s="1969"/>
      <c r="E13" s="2884"/>
      <c r="F13" s="1969"/>
      <c r="G13" s="1969"/>
      <c r="H13" s="1969"/>
      <c r="I13" s="1969"/>
      <c r="J13" s="1969"/>
      <c r="K13" s="1969"/>
      <c r="L13" s="1972"/>
      <c r="M13" s="1947"/>
      <c r="N13" s="1947"/>
      <c r="O13" s="1144"/>
      <c r="P13" s="1006"/>
      <c r="Q13" s="1970"/>
      <c r="R13" s="1006"/>
      <c r="S13" s="1948"/>
      <c r="T13" s="1951" t="s">
        <v>434</v>
      </c>
      <c r="U13" s="1950"/>
      <c r="V13" s="1950"/>
      <c r="W13" s="1950"/>
      <c r="X13" s="1950"/>
      <c r="Y13" s="1950"/>
      <c r="Z13" s="1950"/>
      <c r="AA13" s="1950"/>
      <c r="AB13" s="1950"/>
      <c r="AC13" s="1950"/>
      <c r="AD13" s="1950"/>
      <c r="AE13" s="1950"/>
      <c r="AF13" s="1950"/>
      <c r="AG13" s="1950"/>
      <c r="AH13" s="1950"/>
      <c r="AI13" s="1950"/>
      <c r="AJ13" s="1950"/>
      <c r="AK13" s="1950"/>
      <c r="AM13" s="1126"/>
      <c r="AN13" s="1126" t="str">
        <f>IF(T13="","",T13)</f>
        <v>Добавить территорию для дифференциации</v>
      </c>
      <c r="AO13" s="1126"/>
      <c r="AP13" s="1126"/>
      <c r="AQ13" s="1137">
        <v>0</v>
      </c>
    </row>
    <row customHeight="1" ht="14.25" hidden="1">
      <c r="AB14" s="953"/>
      <c r="AI14" s="953"/>
      <c r="AQ14" s="1781">
        <v>0</v>
      </c>
    </row>
    <row customHeight="1" ht="14.25" hidden="1">
      <c r="AC15" s="1986"/>
      <c r="AD15" s="1986"/>
      <c r="AE15" s="1987"/>
      <c r="AF15" s="2893"/>
      <c r="AG15" s="2894" t="s">
        <v>66</v>
      </c>
      <c r="AH15" s="2893"/>
      <c r="AI15" s="2894" t="s">
        <v>66</v>
      </c>
      <c r="AQ15" s="1781">
        <v>0</v>
      </c>
    </row>
    <row customHeight="1" ht="14.25" hidden="1">
      <c r="AC16" s="1986"/>
      <c r="AD16" s="1986"/>
      <c r="AE16" s="954" t="str">
        <f>AF15&amp;"-"&amp;AH15</f>
        <v>-</v>
      </c>
      <c r="AF16" s="2894"/>
      <c r="AG16" s="2894"/>
      <c r="AH16" s="2894"/>
      <c r="AI16" s="2894"/>
      <c r="AQ16" s="1781">
        <v>0</v>
      </c>
    </row>
    <row customHeight="1" ht="14.25" hidden="1">
      <c r="AI17" s="953"/>
      <c r="AQ17" s="1781">
        <v>0</v>
      </c>
    </row>
    <row s="34657" customFormat="1" customHeight="1" ht="22.5" hidden="1">
      <c r="L18" s="2104"/>
      <c r="M18" s="1988"/>
      <c r="N18" s="1988"/>
      <c r="O18" s="1993" t="s">
        <v>435</v>
      </c>
      <c r="P18" s="1988"/>
      <c r="Q18" s="1997"/>
      <c r="R18" s="1997"/>
      <c r="S18" s="1355"/>
      <c r="Y18" s="1993"/>
      <c r="AA18" s="1993"/>
      <c r="AB18" s="1992"/>
      <c r="AF18" s="1993"/>
      <c r="AH18" s="1993"/>
      <c r="AI18" s="1992"/>
      <c r="AL18" s="1137"/>
      <c r="AM18" s="1137"/>
      <c r="AN18" s="1137"/>
      <c r="AO18" s="1137"/>
      <c r="AP18" s="1137"/>
      <c r="AQ18" s="1786">
        <v>0</v>
      </c>
    </row>
    <row s="34657" customFormat="1" customHeight="1" ht="14.25" hidden="1">
      <c r="L19" s="2104"/>
      <c r="M19" s="1988"/>
      <c r="N19" s="1988"/>
      <c r="O19" s="1988"/>
      <c r="P19" s="1988"/>
      <c r="Q19" s="1997"/>
      <c r="R19" s="1997"/>
      <c r="S19" s="1355"/>
      <c r="AB19" s="1992"/>
      <c r="AI19" s="1992"/>
      <c r="AL19" s="1137"/>
      <c r="AM19" s="1137"/>
      <c r="AN19" s="1137"/>
      <c r="AO19" s="1137"/>
      <c r="AP19" s="1137"/>
      <c r="AQ19" s="1786">
        <v>0</v>
      </c>
    </row>
    <row s="34657" customFormat="1" customHeight="1" ht="12" hidden="1">
      <c r="L20" s="2104"/>
      <c r="M20" s="1988"/>
      <c r="N20" s="1988"/>
      <c r="O20" s="1990" t="s">
        <v>436</v>
      </c>
      <c r="P20" s="1988"/>
      <c r="Q20" s="2068"/>
      <c r="R20" s="2068"/>
      <c r="S20" s="1355"/>
      <c r="T20" s="1786" t="s">
        <v>437</v>
      </c>
      <c r="Z20" s="812" t="s">
        <v>438</v>
      </c>
      <c r="AB20" s="812" t="s">
        <v>439</v>
      </c>
      <c r="AC20" s="1786" t="s">
        <v>437</v>
      </c>
      <c r="AG20" s="812" t="s">
        <v>440</v>
      </c>
      <c r="AI20" s="812" t="s">
        <v>439</v>
      </c>
      <c r="AQ20" s="1786">
        <v>0</v>
      </c>
    </row>
    <row customHeight="1" ht="14.25" hidden="1">
      <c r="O21" s="1990"/>
      <c r="AQ21" s="1781">
        <v>0</v>
      </c>
    </row>
    <row customHeight="1" ht="14.25" hidden="1">
      <c r="O22" s="1990"/>
      <c r="AQ22" s="1781">
        <v>0</v>
      </c>
    </row>
    <row customHeight="1" ht="14.699999999999998">
      <c r="Q23" s="1002"/>
      <c r="R23" s="1002"/>
      <c r="S23" s="1901"/>
      <c r="T23" s="989"/>
      <c r="U23" s="989"/>
      <c r="V23" s="1135"/>
      <c r="W23" s="1135"/>
      <c r="X23" s="1135"/>
      <c r="Y23" s="1135"/>
      <c r="Z23" s="1135"/>
      <c r="AA23" s="1135"/>
      <c r="AB23" s="1135"/>
      <c r="AC23" s="1135"/>
      <c r="AD23" s="1135"/>
      <c r="AE23" s="1135"/>
      <c r="AF23" s="1135"/>
      <c r="AG23" s="1135"/>
      <c r="AH23" s="1135"/>
      <c r="AI23" s="1135"/>
      <c r="AQ23" s="1781">
        <v>14</v>
      </c>
    </row>
    <row customHeight="1" ht="14.699999999999998">
      <c r="Q24" s="1002"/>
      <c r="R24" s="1002"/>
      <c r="S24" s="28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74"/>
      <c r="U24" s="2874"/>
      <c r="V24" s="2874"/>
      <c r="W24" s="2874"/>
      <c r="X24" s="2874"/>
      <c r="Y24" s="2874"/>
      <c r="Z24" s="2874"/>
      <c r="AA24" s="2874"/>
      <c r="AB24" s="2874"/>
      <c r="AC24" s="2874"/>
      <c r="AD24" s="2874"/>
      <c r="AE24" s="2874"/>
      <c r="AF24" s="2874"/>
      <c r="AG24" s="2874"/>
      <c r="AH24" s="2874"/>
      <c r="AI24" s="1869"/>
      <c r="AQ24" s="1781">
        <v>14</v>
      </c>
    </row>
    <row customHeight="1" ht="14.699999999999998">
      <c r="Q25" s="1002"/>
      <c r="R25" s="1002"/>
      <c r="S25" s="2875" t="str">
        <f>IF(org=0,"Не определено",org)</f>
        <v>АО "ДГК"</v>
      </c>
      <c r="T25" s="2875"/>
      <c r="U25" s="2875"/>
      <c r="V25" s="2875"/>
      <c r="W25" s="2875"/>
      <c r="X25" s="2875"/>
      <c r="Y25" s="2875"/>
      <c r="Z25" s="2875"/>
      <c r="AA25" s="2875"/>
      <c r="AB25" s="2875"/>
      <c r="AC25" s="2875"/>
      <c r="AD25" s="2875"/>
      <c r="AE25" s="2875"/>
      <c r="AF25" s="2875"/>
      <c r="AG25" s="2875"/>
      <c r="AH25" s="2875"/>
      <c r="AI25" s="1869"/>
      <c r="AQ25" s="1781">
        <v>14</v>
      </c>
    </row>
    <row customHeight="1" ht="14.25" hidden="1">
      <c r="Q26" s="1002"/>
      <c r="R26" s="1002"/>
      <c r="S26" s="1901"/>
      <c r="T26" s="989"/>
      <c r="U26" s="989"/>
      <c r="V26" s="948"/>
      <c r="W26" s="948"/>
      <c r="X26" s="948"/>
      <c r="Y26" s="948"/>
      <c r="Z26" s="948"/>
      <c r="AA26" s="948"/>
      <c r="AB26" s="948"/>
      <c r="AC26" s="948"/>
      <c r="AD26" s="948"/>
      <c r="AE26" s="948"/>
      <c r="AF26" s="948"/>
      <c r="AG26" s="948"/>
      <c r="AH26" s="948"/>
      <c r="AI26" s="948"/>
      <c r="AJ26" s="1135"/>
      <c r="AQ26" s="1781">
        <v>0</v>
      </c>
    </row>
    <row s="34794" customFormat="1" customHeight="1" ht="25.5" hidden="1">
      <c r="A27" s="1994"/>
      <c r="B27" s="1994"/>
      <c r="C27" s="1994"/>
      <c r="D27" s="1994"/>
      <c r="E27" s="1994"/>
      <c r="F27" s="1994"/>
      <c r="G27" s="1994"/>
      <c r="H27" s="1994"/>
      <c r="I27" s="1994"/>
      <c r="J27" s="1994"/>
      <c r="K27" s="1994"/>
      <c r="L27" s="1995"/>
      <c r="M27" s="1994"/>
      <c r="N27" s="1994"/>
      <c r="O27" s="1994"/>
      <c r="S27" s="2876" t="s">
        <v>42</v>
      </c>
      <c r="T27" s="2876"/>
      <c r="U27" s="1998"/>
      <c r="V27" s="2877" t="str">
        <f>IF(TITLE_NAME_OR_PR_CHANGE="",IF(TITLE_NAME_OR_PR="","",TITLE_NAME_OR_PR),TITLE_NAME_OR_PR_CHANGE)</f>
        <v/>
      </c>
      <c r="W27" s="2877"/>
      <c r="X27" s="2877"/>
      <c r="Y27" s="2877"/>
      <c r="Z27" s="2877"/>
      <c r="AA27" s="2877"/>
      <c r="AB27" s="952"/>
      <c r="AC27" s="2877" t="str">
        <f>IF(TITLE_NAME_OR_PR_CHANGE="",IF(TITLE_NAME_OR_PR="","",TITLE_NAME_OR_PR),TITLE_NAME_OR_PR_CHANGE)</f>
        <v/>
      </c>
      <c r="AD27" s="2877"/>
      <c r="AE27" s="2877"/>
      <c r="AF27" s="2877"/>
      <c r="AG27" s="2877"/>
      <c r="AH27" s="2877"/>
      <c r="AI27" s="952"/>
      <c r="AJ27" s="952"/>
      <c r="AK27" s="906"/>
      <c r="AL27" s="994"/>
      <c r="AM27" s="994"/>
      <c r="AN27" s="994"/>
      <c r="AO27" s="994"/>
      <c r="AP27" s="994"/>
      <c r="AQ27" s="1044">
        <v>0</v>
      </c>
    </row>
    <row s="34794" customFormat="1" customHeight="1" ht="18.75" hidden="1">
      <c r="A28" s="1994"/>
      <c r="B28" s="1994"/>
      <c r="C28" s="1994"/>
      <c r="D28" s="1994"/>
      <c r="E28" s="1994"/>
      <c r="F28" s="1994"/>
      <c r="G28" s="1994"/>
      <c r="H28" s="1994"/>
      <c r="I28" s="1994"/>
      <c r="J28" s="1994"/>
      <c r="K28" s="1994"/>
      <c r="L28" s="1995"/>
      <c r="M28" s="1994"/>
      <c r="N28" s="1994"/>
      <c r="O28" s="1994"/>
      <c r="S28" s="2876" t="s">
        <v>441</v>
      </c>
      <c r="T28" s="2876"/>
      <c r="U28" s="1998"/>
      <c r="V28" s="2890" t="str">
        <f>IF(TITLE_DATE_PR_CHANGE="",IF(TITLE_DATE_PR="","",TITLE_DATE_PR),TITLE_DATE_PR_CHANGE)</f>
        <v/>
      </c>
      <c r="W28" s="2890"/>
      <c r="X28" s="2890"/>
      <c r="Y28" s="2890"/>
      <c r="Z28" s="2890"/>
      <c r="AA28" s="2890"/>
      <c r="AB28" s="952"/>
      <c r="AC28" s="2890" t="str">
        <f>IF(TITLE_DATE_PR_CHANGE="",IF(TITLE_DATE_PR="","",TITLE_DATE_PR),TITLE_DATE_PR_CHANGE)</f>
        <v/>
      </c>
      <c r="AD28" s="2890"/>
      <c r="AE28" s="2890"/>
      <c r="AF28" s="2890"/>
      <c r="AG28" s="2890"/>
      <c r="AH28" s="2890"/>
      <c r="AI28" s="952"/>
      <c r="AJ28" s="952"/>
      <c r="AK28" s="906"/>
      <c r="AL28" s="994"/>
      <c r="AM28" s="994"/>
      <c r="AN28" s="994"/>
      <c r="AO28" s="994"/>
      <c r="AP28" s="994"/>
      <c r="AQ28" s="1044">
        <v>0</v>
      </c>
    </row>
    <row s="34794" customFormat="1" customHeight="1" ht="18.75" hidden="1">
      <c r="A29" s="1994"/>
      <c r="B29" s="1994"/>
      <c r="C29" s="1994"/>
      <c r="D29" s="1994"/>
      <c r="E29" s="1994"/>
      <c r="F29" s="1994"/>
      <c r="G29" s="1994"/>
      <c r="H29" s="1994"/>
      <c r="I29" s="1994"/>
      <c r="J29" s="1994"/>
      <c r="K29" s="1994"/>
      <c r="L29" s="1995"/>
      <c r="M29" s="1994"/>
      <c r="N29" s="1994"/>
      <c r="O29" s="1994"/>
      <c r="S29" s="2876" t="s">
        <v>442</v>
      </c>
      <c r="T29" s="2876"/>
      <c r="U29" s="1998"/>
      <c r="V29" s="2877" t="str">
        <f>IF(TITLE_NUMBER_PR_CHANGE="",IF(TITLE_NUMBER_PR="","",TITLE_NUMBER_PR),TITLE_NUMBER_PR_CHANGE)</f>
        <v/>
      </c>
      <c r="W29" s="2877"/>
      <c r="X29" s="2877"/>
      <c r="Y29" s="2877"/>
      <c r="Z29" s="2877"/>
      <c r="AA29" s="2877"/>
      <c r="AB29" s="952"/>
      <c r="AC29" s="2877" t="str">
        <f>IF(TITLE_NUMBER_PR_CHANGE="",IF(TITLE_NUMBER_PR="","",TITLE_NUMBER_PR),TITLE_NUMBER_PR_CHANGE)</f>
        <v/>
      </c>
      <c r="AD29" s="2877"/>
      <c r="AE29" s="2877"/>
      <c r="AF29" s="2877"/>
      <c r="AG29" s="2877"/>
      <c r="AH29" s="2877"/>
      <c r="AI29" s="952"/>
      <c r="AJ29" s="952"/>
      <c r="AK29" s="906"/>
      <c r="AL29" s="994"/>
      <c r="AM29" s="994"/>
      <c r="AN29" s="994"/>
      <c r="AO29" s="994"/>
      <c r="AP29" s="994"/>
      <c r="AQ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43</v>
      </c>
      <c r="T30" s="2876"/>
      <c r="U30" s="1998"/>
      <c r="V30" s="2877" t="str">
        <f>IF(TITLE_IST_PUB_CHANGE="",IF(TITLE_IST_PUB="","",TITLE_IST_PUB),TITLE_IST_PUB_CHANGE)</f>
        <v/>
      </c>
      <c r="W30" s="2877"/>
      <c r="X30" s="2877"/>
      <c r="Y30" s="2877"/>
      <c r="Z30" s="2877"/>
      <c r="AA30" s="2877"/>
      <c r="AB30" s="952"/>
      <c r="AC30" s="2877" t="str">
        <f>IF(TITLE_IST_PUB_CHANGE="",IF(TITLE_IST_PUB="","",TITLE_IST_PUB),TITLE_IST_PUB_CHANGE)</f>
        <v/>
      </c>
      <c r="AD30" s="2877"/>
      <c r="AE30" s="2877"/>
      <c r="AF30" s="2877"/>
      <c r="AG30" s="2877"/>
      <c r="AH30" s="2877"/>
      <c r="AI30" s="952"/>
      <c r="AJ30" s="952"/>
      <c r="AK30" s="906"/>
      <c r="AL30" s="994"/>
      <c r="AM30" s="994"/>
      <c r="AN30" s="994"/>
      <c r="AO30" s="994"/>
      <c r="AP30" s="994"/>
      <c r="AQ30" s="1044">
        <v>0</v>
      </c>
    </row>
    <row customHeight="1" ht="14.25" hidden="1">
      <c r="Q31" s="1002"/>
      <c r="R31" s="1002"/>
      <c r="S31" s="1901"/>
      <c r="T31" s="989"/>
      <c r="U31" s="989"/>
      <c r="V31" s="948"/>
      <c r="W31" s="948"/>
      <c r="X31" s="948"/>
      <c r="Y31" s="948"/>
      <c r="Z31" s="948"/>
      <c r="AA31" s="948"/>
      <c r="AB31" s="948"/>
      <c r="AC31" s="948"/>
      <c r="AD31" s="948"/>
      <c r="AE31" s="948"/>
      <c r="AF31" s="948"/>
      <c r="AG31" s="948"/>
      <c r="AH31" s="948"/>
      <c r="AI31" s="948"/>
      <c r="AJ31" s="1135"/>
      <c r="AQ31" s="1781">
        <v>0</v>
      </c>
    </row>
    <row s="34794" customFormat="1" customHeight="1" ht="18.75" hidden="1">
      <c r="A32" s="1994"/>
      <c r="B32" s="1994"/>
      <c r="C32" s="1994"/>
      <c r="D32" s="1994"/>
      <c r="E32" s="1994"/>
      <c r="F32" s="1994"/>
      <c r="G32" s="1994"/>
      <c r="H32" s="1994"/>
      <c r="I32" s="1994"/>
      <c r="J32" s="1994"/>
      <c r="K32" s="1994"/>
      <c r="L32" s="1995"/>
      <c r="M32" s="1994"/>
      <c r="N32" s="1994"/>
      <c r="O32" s="1994"/>
      <c r="S32" s="2876" t="s">
        <v>443</v>
      </c>
      <c r="T32" s="2876"/>
      <c r="U32" s="1998"/>
      <c r="V32" s="2890" t="str">
        <f>IF(TITLE_DATE_PR_CHANGE="",IF(TITLE_DATE_PR="","",TITLE_DATE_PR),TITLE_DATE_PR_CHANGE)</f>
        <v/>
      </c>
      <c r="W32" s="2890"/>
      <c r="X32" s="2890"/>
      <c r="Y32" s="2890"/>
      <c r="Z32" s="2890"/>
      <c r="AA32" s="2890"/>
      <c r="AB32" s="952"/>
      <c r="AC32" s="2890" t="str">
        <f>IF(TITLE_DATE_PR_CHANGE="",IF(TITLE_DATE_PR="","",TITLE_DATE_PR),TITLE_DATE_PR_CHANGE)</f>
        <v/>
      </c>
      <c r="AD32" s="2890"/>
      <c r="AE32" s="2890"/>
      <c r="AF32" s="2890"/>
      <c r="AG32" s="2890"/>
      <c r="AH32" s="2890"/>
      <c r="AI32" s="952"/>
      <c r="AJ32" s="952"/>
      <c r="AK32" s="906"/>
      <c r="AL32" s="994"/>
      <c r="AM32" s="994"/>
      <c r="AN32" s="994"/>
      <c r="AO32" s="994"/>
      <c r="AP32" s="994"/>
      <c r="AQ32" s="1044">
        <v>0</v>
      </c>
    </row>
    <row s="34794" customFormat="1" customHeight="1" ht="18.75" hidden="1">
      <c r="A33" s="1994"/>
      <c r="B33" s="1994"/>
      <c r="C33" s="1994"/>
      <c r="D33" s="1994"/>
      <c r="E33" s="1994"/>
      <c r="F33" s="1994"/>
      <c r="G33" s="1994"/>
      <c r="H33" s="1994"/>
      <c r="I33" s="1994"/>
      <c r="J33" s="1994"/>
      <c r="K33" s="1994"/>
      <c r="L33" s="1995"/>
      <c r="M33" s="1994"/>
      <c r="N33" s="1994"/>
      <c r="O33" s="1994"/>
      <c r="S33" s="2876" t="s">
        <v>444</v>
      </c>
      <c r="T33" s="2876"/>
      <c r="U33" s="1998"/>
      <c r="V33" s="2877" t="str">
        <f>IF(TITLE_NUMBER_PR_CHANGE="",IF(TITLE_NUMBER_PR="","",TITLE_NUMBER_PR),TITLE_NUMBER_PR_CHANGE)</f>
        <v/>
      </c>
      <c r="W33" s="2877"/>
      <c r="X33" s="2877"/>
      <c r="Y33" s="2877"/>
      <c r="Z33" s="2877"/>
      <c r="AA33" s="2877"/>
      <c r="AB33" s="952"/>
      <c r="AC33" s="2877" t="str">
        <f>IF(TITLE_NUMBER_PR_CHANGE="",IF(TITLE_NUMBER_PR="","",TITLE_NUMBER_PR),TITLE_NUMBER_PR_CHANGE)</f>
        <v/>
      </c>
      <c r="AD33" s="2877"/>
      <c r="AE33" s="2877"/>
      <c r="AF33" s="2877"/>
      <c r="AG33" s="2877"/>
      <c r="AH33" s="2877"/>
      <c r="AI33" s="952"/>
      <c r="AJ33" s="952"/>
      <c r="AK33" s="906"/>
      <c r="AL33" s="994"/>
      <c r="AM33" s="994"/>
      <c r="AN33" s="994"/>
      <c r="AO33" s="994"/>
      <c r="AP33" s="994"/>
      <c r="AQ33" s="1044">
        <v>0</v>
      </c>
    </row>
    <row s="34794" customFormat="1" customHeight="1" ht="1.05">
      <c r="A34" s="1994"/>
      <c r="B34" s="1994"/>
      <c r="C34" s="1994"/>
      <c r="D34" s="1994"/>
      <c r="E34" s="1994"/>
      <c r="F34" s="1994"/>
      <c r="G34" s="1994"/>
      <c r="H34" s="1994"/>
      <c r="I34" s="1994"/>
      <c r="J34" s="1994"/>
      <c r="K34" s="1994"/>
      <c r="L34" s="1995"/>
      <c r="M34" s="1994"/>
      <c r="N34" s="1994"/>
      <c r="O34" s="1994"/>
      <c r="S34" s="949"/>
      <c r="T34" s="949"/>
      <c r="U34" s="2114"/>
      <c r="V34" s="952"/>
      <c r="W34" s="952"/>
      <c r="X34" s="952"/>
      <c r="Y34" s="952"/>
      <c r="Z34" s="952"/>
      <c r="AA34" s="952"/>
      <c r="AB34" s="904" t="s">
        <v>445</v>
      </c>
      <c r="AC34" s="952"/>
      <c r="AD34" s="952"/>
      <c r="AE34" s="952"/>
      <c r="AF34" s="952"/>
      <c r="AG34" s="952"/>
      <c r="AH34" s="952"/>
      <c r="AI34" s="904" t="s">
        <v>445</v>
      </c>
      <c r="AL34" s="994"/>
      <c r="AM34" s="994"/>
      <c r="AN34" s="994"/>
      <c r="AO34" s="994"/>
      <c r="AP34" s="994"/>
      <c r="AQ34" s="1044">
        <v>1</v>
      </c>
    </row>
    <row customHeight="1" ht="14.699999999999998">
      <c r="Q35" s="1002"/>
      <c r="R35" s="1002"/>
      <c r="S35" s="1901"/>
      <c r="T35" s="989"/>
      <c r="U35" s="1870"/>
      <c r="V35" s="2878"/>
      <c r="W35" s="2878"/>
      <c r="X35" s="2878"/>
      <c r="Y35" s="2878"/>
      <c r="Z35" s="2878"/>
      <c r="AA35" s="2878"/>
      <c r="AB35" s="2878"/>
      <c r="AC35" s="2878"/>
      <c r="AD35" s="2878"/>
      <c r="AE35" s="2878"/>
      <c r="AF35" s="2878"/>
      <c r="AG35" s="2878"/>
      <c r="AH35" s="2878"/>
      <c r="AI35" s="2878"/>
      <c r="AQ35" s="1781">
        <v>14</v>
      </c>
    </row>
    <row customHeight="1" ht="14.699999999999998">
      <c r="Q36" s="1002"/>
      <c r="R36" s="1002"/>
      <c r="S36" s="2753" t="s">
        <v>318</v>
      </c>
      <c r="T36" s="2753"/>
      <c r="U36" s="2753"/>
      <c r="V36" s="2753"/>
      <c r="W36" s="2753"/>
      <c r="X36" s="2753"/>
      <c r="Y36" s="2753"/>
      <c r="Z36" s="2753"/>
      <c r="AA36" s="2753"/>
      <c r="AB36" s="2753"/>
      <c r="AC36" s="2753"/>
      <c r="AD36" s="2753"/>
      <c r="AE36" s="2753"/>
      <c r="AF36" s="2753"/>
      <c r="AG36" s="2753"/>
      <c r="AH36" s="2753"/>
      <c r="AI36" s="2753"/>
      <c r="AJ36" s="2753"/>
      <c r="AK36" s="2753" t="s">
        <v>319</v>
      </c>
      <c r="AQ36" s="1781">
        <v>14</v>
      </c>
    </row>
    <row customHeight="1" ht="14.699999999999998">
      <c r="Q37" s="1002"/>
      <c r="R37" s="1002"/>
      <c r="S37" s="2899" t="s">
        <v>88</v>
      </c>
      <c r="T37" s="2835" t="s">
        <v>446</v>
      </c>
      <c r="U37" s="927"/>
      <c r="V37" s="2900" t="s">
        <v>447</v>
      </c>
      <c r="W37" s="2901"/>
      <c r="X37" s="2901"/>
      <c r="Y37" s="2901"/>
      <c r="Z37" s="2901"/>
      <c r="AA37" s="2902"/>
      <c r="AB37" s="2903" t="s">
        <v>448</v>
      </c>
      <c r="AC37" s="2900" t="s">
        <v>447</v>
      </c>
      <c r="AD37" s="2901"/>
      <c r="AE37" s="2901"/>
      <c r="AF37" s="2901"/>
      <c r="AG37" s="2901"/>
      <c r="AH37" s="2902"/>
      <c r="AI37" s="2903" t="s">
        <v>449</v>
      </c>
      <c r="AJ37" s="2906" t="s">
        <v>450</v>
      </c>
      <c r="AK37" s="2753"/>
      <c r="AQ37" s="1781">
        <v>14</v>
      </c>
    </row>
    <row customHeight="1" ht="35.699999999999996">
      <c r="Q38" s="1002"/>
      <c r="R38" s="1002"/>
      <c r="S38" s="2899"/>
      <c r="T38" s="2835"/>
      <c r="U38" s="1657"/>
      <c r="V38" s="2109" t="s">
        <v>507</v>
      </c>
      <c r="W38" s="2888" t="s">
        <v>453</v>
      </c>
      <c r="X38" s="2889"/>
      <c r="Y38" s="2888" t="s">
        <v>454</v>
      </c>
      <c r="Z38" s="2895"/>
      <c r="AA38" s="2889"/>
      <c r="AB38" s="2904"/>
      <c r="AC38" s="2109" t="s">
        <v>507</v>
      </c>
      <c r="AD38" s="2888" t="s">
        <v>453</v>
      </c>
      <c r="AE38" s="2889"/>
      <c r="AF38" s="2888" t="s">
        <v>454</v>
      </c>
      <c r="AG38" s="2895"/>
      <c r="AH38" s="2889"/>
      <c r="AI38" s="2904"/>
      <c r="AJ38" s="2907"/>
      <c r="AK38" s="2753"/>
      <c r="AQ38" s="1781">
        <v>34</v>
      </c>
    </row>
    <row customHeight="1" ht="90.3">
      <c r="A39" s="1996"/>
      <c r="B39" s="1996" t="s">
        <v>155</v>
      </c>
      <c r="C39" s="1996" t="s">
        <v>156</v>
      </c>
      <c r="D39" s="1996" t="s">
        <v>157</v>
      </c>
      <c r="E39" s="1990" t="s">
        <v>455</v>
      </c>
      <c r="F39" s="1990" t="s">
        <v>456</v>
      </c>
      <c r="G39" s="1990" t="s">
        <v>457</v>
      </c>
      <c r="H39" s="1990"/>
      <c r="I39" s="1990" t="s">
        <v>508</v>
      </c>
      <c r="J39" s="1990" t="s">
        <v>460</v>
      </c>
      <c r="K39" s="1990" t="s">
        <v>509</v>
      </c>
      <c r="L39" s="1990" t="s">
        <v>436</v>
      </c>
      <c r="Q39" s="1002"/>
      <c r="R39" s="1002"/>
      <c r="S39" s="2899"/>
      <c r="T39" s="2835"/>
      <c r="U39" s="928"/>
      <c r="V39" s="2109" t="s">
        <v>536</v>
      </c>
      <c r="W39" s="1848" t="s">
        <v>537</v>
      </c>
      <c r="X39" s="1848" t="s">
        <v>512</v>
      </c>
      <c r="Y39" s="2115" t="s">
        <v>464</v>
      </c>
      <c r="Z39" s="2896" t="s">
        <v>465</v>
      </c>
      <c r="AA39" s="2897"/>
      <c r="AB39" s="2905"/>
      <c r="AC39" s="2109" t="s">
        <v>536</v>
      </c>
      <c r="AD39" s="1848" t="s">
        <v>537</v>
      </c>
      <c r="AE39" s="1848" t="s">
        <v>512</v>
      </c>
      <c r="AF39" s="2115" t="s">
        <v>464</v>
      </c>
      <c r="AG39" s="2896" t="s">
        <v>465</v>
      </c>
      <c r="AH39" s="2897"/>
      <c r="AI39" s="2905"/>
      <c r="AJ39" s="2908"/>
      <c r="AK39" s="2753"/>
      <c r="AQ39" s="1781">
        <v>86</v>
      </c>
    </row>
    <row s="35197" customFormat="1" customHeight="1" ht="0">
      <c r="A40" s="1996"/>
      <c r="B40" s="1996"/>
      <c r="C40" s="1996"/>
      <c r="D40" s="1996"/>
      <c r="E40" s="1996"/>
      <c r="F40" s="1996"/>
      <c r="G40" s="1996"/>
      <c r="H40" s="1996"/>
      <c r="I40" s="1996"/>
      <c r="J40" s="1996"/>
      <c r="K40" s="1996"/>
      <c r="L40" s="1990"/>
      <c r="M40" s="1988"/>
      <c r="N40" s="1988"/>
      <c r="O40" s="1988"/>
      <c r="P40" s="1872"/>
      <c r="Q40" s="1873"/>
      <c r="R40" s="1880">
        <v>1</v>
      </c>
      <c r="S40" s="1903" t="s">
        <v>118</v>
      </c>
      <c r="T40" s="1881" t="s">
        <v>102</v>
      </c>
      <c r="U40" s="1871" t="str">
        <f>OFFSET(U40,0,-1)</f>
        <v>2</v>
      </c>
      <c r="V40" s="2108">
        <f>OFFSET(V40,0,-1)+1</f>
        <v>3</v>
      </c>
      <c r="W40" s="2108">
        <f>OFFSET(W40,0,-1)+1</f>
        <v>4</v>
      </c>
      <c r="X40" s="2108">
        <f>OFFSET(X40,0,-1)+1</f>
        <v>5</v>
      </c>
      <c r="Y40" s="2108">
        <f>OFFSET(Y40,0,-1)+1</f>
        <v>6</v>
      </c>
      <c r="Z40" s="2898">
        <f>OFFSET(Z40,0,-1)+1</f>
        <v>7</v>
      </c>
      <c r="AA40" s="2898"/>
      <c r="AB40" s="2108">
        <f>OFFSET(AB40,0,-2)+1</f>
        <v>8</v>
      </c>
      <c r="AC40" s="2108">
        <f>OFFSET(AC40,0,-1)+1</f>
        <v>9</v>
      </c>
      <c r="AD40" s="2108">
        <f>OFFSET(AD40,0,-1)+1</f>
        <v>10</v>
      </c>
      <c r="AE40" s="2108">
        <f>OFFSET(AE40,0,-1)+1</f>
        <v>11</v>
      </c>
      <c r="AF40" s="2108">
        <f>OFFSET(AF40,0,-1)+1</f>
        <v>12</v>
      </c>
      <c r="AG40" s="2898">
        <f>OFFSET(AG40,0,-1)+1</f>
        <v>13</v>
      </c>
      <c r="AH40" s="2898"/>
      <c r="AI40" s="2108">
        <f>OFFSET(AI40,0,-2)+1</f>
        <v>14</v>
      </c>
      <c r="AJ40" s="1871">
        <f>OFFSET(AJ40,0,-1)</f>
        <v>14</v>
      </c>
      <c r="AK40" s="2108">
        <f>OFFSET(AK40,0,-1)+1</f>
        <v>15</v>
      </c>
      <c r="AL40" s="1137"/>
      <c r="AM40" s="1137"/>
      <c r="AN40" s="1137"/>
      <c r="AO40" s="1137"/>
      <c r="AP40" s="1137"/>
      <c r="AQ40" s="1122">
        <v>0</v>
      </c>
    </row>
    <row customHeight="1" ht="24">
      <c r="A41" s="1989" t="s">
        <v>289</v>
      </c>
      <c r="B41" s="1989"/>
      <c r="C41" s="1989"/>
      <c r="D41" s="1989"/>
      <c r="E41" s="2884">
        <v>1</v>
      </c>
      <c r="F41" s="1989"/>
      <c r="G41" s="1989"/>
      <c r="H41" s="1989"/>
      <c r="I41" s="1989"/>
      <c r="J41" s="1989"/>
      <c r="K41" s="1989"/>
      <c r="L41" s="1990"/>
      <c r="M41" s="1991"/>
      <c r="N41" s="1991"/>
      <c r="O41" s="1991"/>
      <c r="P41" s="987"/>
      <c r="Q41" s="986"/>
      <c r="R41" s="981"/>
      <c r="S41" s="2119">
        <f>INDEX(PT_DIFFERENTIATION_NUM_NTAR,MATCH(A41,PT_DIFFERENTIATION_NTAR_ID,0))</f>
        <v>0</v>
      </c>
      <c r="T41" s="924" t="s">
        <v>143</v>
      </c>
      <c r="U41" s="926"/>
      <c r="V41" s="2868"/>
      <c r="W41" s="2869"/>
      <c r="X41" s="2869"/>
      <c r="Y41" s="2869"/>
      <c r="Z41" s="2869"/>
      <c r="AA41" s="2869"/>
      <c r="AB41" s="2870"/>
      <c r="AC41" s="2868" t="str">
        <f>INDEX(PT_DIFFERENTIATION_NTAR,MATCH(A41,PT_DIFFERENTIATION_NTAR_ID,0))</f>
        <v/>
      </c>
      <c r="AD41" s="2869"/>
      <c r="AE41" s="2869"/>
      <c r="AF41" s="2869"/>
      <c r="AG41" s="2869"/>
      <c r="AH41" s="2869"/>
      <c r="AI41" s="2869"/>
      <c r="AJ41" s="2870"/>
      <c r="AK41"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26"/>
      <c r="AN41" s="1126" t="str">
        <f>IF(T41="","",T41)</f>
        <v>Наименование тарифа</v>
      </c>
      <c r="AO41" s="1126"/>
      <c r="AP41" s="1126"/>
      <c r="AQ41" s="1781">
        <v>23</v>
      </c>
    </row>
    <row customHeight="1" ht="24">
      <c r="A42" s="1989" t="s">
        <v>289</v>
      </c>
      <c r="B42" s="1989" t="s">
        <v>290</v>
      </c>
      <c r="C42" s="1989"/>
      <c r="D42" s="1989"/>
      <c r="E42" s="2885"/>
      <c r="F42" s="2884">
        <v>1</v>
      </c>
      <c r="G42" s="1989"/>
      <c r="H42" s="1989"/>
      <c r="I42" s="1989"/>
      <c r="J42" s="1989"/>
      <c r="K42" s="1989"/>
      <c r="L42" s="1990"/>
      <c r="M42" s="1991"/>
      <c r="N42" s="1991"/>
      <c r="O42" s="1991"/>
      <c r="P42" s="2113"/>
      <c r="Q42" s="978"/>
      <c r="R42" s="979"/>
      <c r="S42" s="2119" t="str">
        <f>INDEX(PT_DIFFERENTIATION_NUM_TER,MATCH(B42,PT_DIFFERENTIATION_TER_ID,0))</f>
        <v>.</v>
      </c>
      <c r="T42" s="934" t="s">
        <v>415</v>
      </c>
      <c r="U42" s="926"/>
      <c r="V42" s="2868"/>
      <c r="W42" s="2869"/>
      <c r="X42" s="2869"/>
      <c r="Y42" s="2869"/>
      <c r="Z42" s="2869"/>
      <c r="AA42" s="2869"/>
      <c r="AB42" s="2870"/>
      <c r="AC42" s="2868" t="str">
        <f>INDEX(PT_DIFFERENTIATION_TER,MATCH(B42,PT_DIFFERENTIATION_TER_ID,0))</f>
        <v/>
      </c>
      <c r="AD42" s="2869"/>
      <c r="AE42" s="2869"/>
      <c r="AF42" s="2869"/>
      <c r="AG42" s="2869"/>
      <c r="AH42" s="2869"/>
      <c r="AI42" s="2869"/>
      <c r="AJ42" s="2870"/>
      <c r="AK42" s="1884" t="s">
        <v>416</v>
      </c>
      <c r="AM42" s="1126"/>
      <c r="AN42" s="1126" t="str">
        <f>IF(T42="","",T42)</f>
        <v>Территория действия тарифа</v>
      </c>
      <c r="AO42" s="1126"/>
      <c r="AP42" s="1126"/>
      <c r="AQ42" s="1781">
        <v>23</v>
      </c>
    </row>
    <row customHeight="1" ht="24">
      <c r="A43" s="1989" t="s">
        <v>289</v>
      </c>
      <c r="B43" s="1989" t="s">
        <v>290</v>
      </c>
      <c r="C43" s="1989" t="s">
        <v>291</v>
      </c>
      <c r="D43" s="1989"/>
      <c r="E43" s="2885"/>
      <c r="F43" s="2885"/>
      <c r="G43" s="2884">
        <v>1</v>
      </c>
      <c r="H43" s="1989"/>
      <c r="I43" s="1989"/>
      <c r="J43" s="1989"/>
      <c r="K43" s="1989"/>
      <c r="L43" s="1990"/>
      <c r="M43" s="1991"/>
      <c r="N43" s="1991"/>
      <c r="O43" s="1991"/>
      <c r="P43" s="980"/>
      <c r="Q43" s="978"/>
      <c r="R43" s="979"/>
      <c r="S43" s="2119" t="str">
        <f>INDEX(PT_DIFFERENTIATION_NUM_CS,MATCH(C43,PT_DIFFERENTIATION_CS_ID,0))</f>
        <v>..</v>
      </c>
      <c r="T43" s="935" t="s">
        <v>534</v>
      </c>
      <c r="U43" s="926"/>
      <c r="V43" s="2868"/>
      <c r="W43" s="2869"/>
      <c r="X43" s="2869"/>
      <c r="Y43" s="2869"/>
      <c r="Z43" s="2869"/>
      <c r="AA43" s="2869"/>
      <c r="AB43" s="2870"/>
      <c r="AC43" s="2868" t="str">
        <f>INDEX(PT_DIFFERENTIATION_CS,MATCH(C43,PT_DIFFERENTIATION_CS_ID,0))</f>
        <v/>
      </c>
      <c r="AD43" s="2869"/>
      <c r="AE43" s="2869"/>
      <c r="AF43" s="2869"/>
      <c r="AG43" s="2869"/>
      <c r="AH43" s="2869"/>
      <c r="AI43" s="2869"/>
      <c r="AJ43" s="2870"/>
      <c r="AK43" s="1884" t="s">
        <v>535</v>
      </c>
      <c r="AM43" s="1126"/>
      <c r="AN43" s="1126" t="str">
        <f>IF(T43="","",T43)</f>
        <v>Наименование централизованной системы водоотведения</v>
      </c>
      <c r="AO43" s="1126"/>
      <c r="AP43" s="1126"/>
      <c r="AQ43" s="1781">
        <v>23</v>
      </c>
    </row>
    <row customHeight="1" ht="24">
      <c r="A44" s="1989" t="s">
        <v>289</v>
      </c>
      <c r="B44" s="1989" t="s">
        <v>290</v>
      </c>
      <c r="C44" s="1989" t="s">
        <v>291</v>
      </c>
      <c r="D44" s="1989" t="s">
        <v>539</v>
      </c>
      <c r="E44" s="2885"/>
      <c r="F44" s="2885"/>
      <c r="G44" s="2885"/>
      <c r="H44" s="2885"/>
      <c r="I44" s="2882" t="str">
        <f>S43&amp;".1"</f>
        <v>...1</v>
      </c>
      <c r="J44" s="1989"/>
      <c r="K44" s="1989"/>
      <c r="L44" s="1990"/>
      <c r="P44" s="2883">
        <v>1</v>
      </c>
      <c r="Q44" s="2107"/>
      <c r="R44" s="982"/>
      <c r="S44" s="2119" t="str">
        <f>$I44</f>
        <v>...1</v>
      </c>
      <c r="T44" s="911" t="s">
        <v>501</v>
      </c>
      <c r="U44" s="926"/>
      <c r="V44" s="2976"/>
      <c r="W44" s="2977"/>
      <c r="X44" s="2977"/>
      <c r="Y44" s="2977"/>
      <c r="Z44" s="2977"/>
      <c r="AA44" s="2977"/>
      <c r="AB44" s="2978"/>
      <c r="AC44" s="2979"/>
      <c r="AD44" s="2980"/>
      <c r="AE44" s="2980"/>
      <c r="AF44" s="2980"/>
      <c r="AG44" s="2980"/>
      <c r="AH44" s="2980"/>
      <c r="AI44" s="2980"/>
      <c r="AJ44" s="2981"/>
      <c r="AK44" s="1884" t="s">
        <v>502</v>
      </c>
      <c r="AM44" s="1126"/>
      <c r="AN44" s="1126" t="str">
        <f>IF(T44="","",T44)</f>
        <v>Наименование признака дифференциации</v>
      </c>
      <c r="AO44" s="1126"/>
      <c r="AP44" s="1126"/>
      <c r="AQ44" s="1781">
        <v>23</v>
      </c>
    </row>
    <row customHeight="1" ht="24">
      <c r="A45" s="1989" t="s">
        <v>289</v>
      </c>
      <c r="B45" s="1989" t="s">
        <v>290</v>
      </c>
      <c r="C45" s="1989" t="s">
        <v>291</v>
      </c>
      <c r="D45" s="1989" t="s">
        <v>539</v>
      </c>
      <c r="E45" s="2885"/>
      <c r="F45" s="2885"/>
      <c r="G45" s="2885"/>
      <c r="H45" s="2885"/>
      <c r="I45" s="2912"/>
      <c r="J45" s="2882" t="str">
        <f>I44&amp;".1"</f>
        <v>...1.1</v>
      </c>
      <c r="K45" s="1989"/>
      <c r="L45" s="1990" t="s">
        <v>424</v>
      </c>
      <c r="P45" s="2883"/>
      <c r="Q45" s="2883">
        <v>1</v>
      </c>
      <c r="R45" s="983"/>
      <c r="S45" s="2119" t="str">
        <f>$J45</f>
        <v>...1.1</v>
      </c>
      <c r="T45" s="912" t="s">
        <v>425</v>
      </c>
      <c r="U45" s="926"/>
      <c r="V45" s="2871"/>
      <c r="W45" s="2872"/>
      <c r="X45" s="2872"/>
      <c r="Y45" s="2872"/>
      <c r="Z45" s="2872"/>
      <c r="AA45" s="2872"/>
      <c r="AB45" s="2873"/>
      <c r="AC45" s="2871"/>
      <c r="AD45" s="2872"/>
      <c r="AE45" s="2872"/>
      <c r="AF45" s="2872"/>
      <c r="AG45" s="2872"/>
      <c r="AH45" s="2872"/>
      <c r="AI45" s="2872"/>
      <c r="AJ45" s="2873"/>
      <c r="AK45" s="1933" t="s">
        <v>503</v>
      </c>
      <c r="AM45" s="1126"/>
      <c r="AN45" s="1126" t="str">
        <f>IF(T45="","",T45)</f>
        <v>Группа потребителей</v>
      </c>
      <c r="AO45" s="1126"/>
      <c r="AP45" s="1126"/>
      <c r="AQ45" s="1781">
        <v>23</v>
      </c>
    </row>
    <row customHeight="1" ht="24">
      <c r="A46" s="1989" t="s">
        <v>289</v>
      </c>
      <c r="B46" s="1989" t="s">
        <v>290</v>
      </c>
      <c r="C46" s="1989" t="s">
        <v>291</v>
      </c>
      <c r="D46" s="1989" t="s">
        <v>539</v>
      </c>
      <c r="E46" s="2885"/>
      <c r="F46" s="2885"/>
      <c r="G46" s="2885"/>
      <c r="H46" s="2885"/>
      <c r="I46" s="2912"/>
      <c r="J46" s="2912"/>
      <c r="K46" s="2882" t="str">
        <f>J45&amp;".1"</f>
        <v>...1.1.1</v>
      </c>
      <c r="L46" s="1990"/>
      <c r="P46" s="2883"/>
      <c r="Q46" s="2883"/>
      <c r="R46" s="983">
        <v>1</v>
      </c>
      <c r="S46" s="2119" t="str">
        <f>$K46</f>
        <v>...1.1.1</v>
      </c>
      <c r="T46" s="2063"/>
      <c r="U46" s="926"/>
      <c r="V46" s="1986"/>
      <c r="W46" s="1986"/>
      <c r="X46" s="1987"/>
      <c r="Y46" s="2893"/>
      <c r="Z46" s="2894" t="s">
        <v>66</v>
      </c>
      <c r="AA46" s="2893"/>
      <c r="AB46" s="2894" t="s">
        <v>66</v>
      </c>
      <c r="AC46" s="1377"/>
      <c r="AD46" s="1377"/>
      <c r="AE46" s="1883"/>
      <c r="AF46" s="2891"/>
      <c r="AG46" s="2733" t="s">
        <v>66</v>
      </c>
      <c r="AH46" s="2913"/>
      <c r="AI46" s="2733" t="s">
        <v>19</v>
      </c>
      <c r="AJ46" s="2064"/>
      <c r="AK46"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37">
        <f>STRCHECKDATE(V47:AJ47)</f>
      </c>
      <c r="AM46" s="1126"/>
      <c r="AN46" s="1126" t="str">
        <f>IF(T46="","",T46)</f>
        <v/>
      </c>
      <c r="AO46" s="1126"/>
      <c r="AP46" s="1126"/>
      <c r="AQ46" s="1781">
        <v>23</v>
      </c>
    </row>
    <row customHeight="1" ht="0">
      <c r="A47" s="1989" t="s">
        <v>289</v>
      </c>
      <c r="B47" s="1989" t="s">
        <v>290</v>
      </c>
      <c r="C47" s="1989" t="s">
        <v>291</v>
      </c>
      <c r="D47" s="1989" t="s">
        <v>539</v>
      </c>
      <c r="E47" s="2885"/>
      <c r="F47" s="2885"/>
      <c r="G47" s="2885"/>
      <c r="H47" s="2885"/>
      <c r="I47" s="2912"/>
      <c r="J47" s="2912"/>
      <c r="K47" s="2882"/>
      <c r="L47" s="1990"/>
      <c r="P47" s="2883"/>
      <c r="Q47" s="2883"/>
      <c r="R47" s="983"/>
      <c r="S47" s="2116"/>
      <c r="T47" s="926"/>
      <c r="U47" s="926"/>
      <c r="V47" s="1986"/>
      <c r="W47" s="1986"/>
      <c r="X47" s="954" t="str">
        <f>Y46&amp;"-"&amp;AA46</f>
        <v>-</v>
      </c>
      <c r="Y47" s="2894"/>
      <c r="Z47" s="2894"/>
      <c r="AA47" s="2894"/>
      <c r="AB47" s="2894"/>
      <c r="AC47" s="951"/>
      <c r="AD47" s="951"/>
      <c r="AE47" s="954" t="str">
        <f>AF46&amp;"-"&amp;AH46</f>
        <v>-</v>
      </c>
      <c r="AF47" s="2892"/>
      <c r="AG47" s="2733"/>
      <c r="AH47" s="2914"/>
      <c r="AI47" s="2733"/>
      <c r="AJ47" s="2065"/>
      <c r="AK47" s="2975"/>
      <c r="AM47" s="1126"/>
      <c r="AN47" s="1126" t="str">
        <f>IF(T47="","",T47)</f>
        <v/>
      </c>
      <c r="AO47" s="1126"/>
      <c r="AP47" s="1126"/>
      <c r="AQ47" s="1781">
        <v>0</v>
      </c>
    </row>
    <row customHeight="1" ht="21">
      <c r="A48" s="1989" t="s">
        <v>289</v>
      </c>
      <c r="B48" s="1989" t="s">
        <v>290</v>
      </c>
      <c r="C48" s="1989" t="s">
        <v>291</v>
      </c>
      <c r="D48" s="1989" t="s">
        <v>539</v>
      </c>
      <c r="E48" s="2885"/>
      <c r="F48" s="2885"/>
      <c r="G48" s="2885"/>
      <c r="H48" s="2885"/>
      <c r="I48" s="2912"/>
      <c r="J48" s="2882"/>
      <c r="K48" s="1989"/>
      <c r="L48" s="1990"/>
      <c r="P48" s="2883"/>
      <c r="Q48" s="2883"/>
      <c r="R48" s="982"/>
      <c r="S48" s="1904"/>
      <c r="T48" s="913" t="s">
        <v>504</v>
      </c>
      <c r="U48" s="993"/>
      <c r="V48" s="993"/>
      <c r="W48" s="993"/>
      <c r="X48" s="993"/>
      <c r="Y48" s="993"/>
      <c r="Z48" s="993"/>
      <c r="AA48" s="993"/>
      <c r="AB48" s="993"/>
      <c r="AC48" s="993"/>
      <c r="AD48" s="993"/>
      <c r="AE48" s="993"/>
      <c r="AF48" s="993"/>
      <c r="AG48" s="993"/>
      <c r="AH48" s="993"/>
      <c r="AI48" s="993"/>
      <c r="AJ48" s="993"/>
      <c r="AK48" s="1884" t="s">
        <v>505</v>
      </c>
      <c r="AM48" s="1126"/>
      <c r="AN48" s="1126" t="str">
        <f>IF(T48="","",T48)</f>
        <v>Добавить значение признака дифференциации</v>
      </c>
      <c r="AO48" s="1126"/>
      <c r="AP48" s="1126"/>
      <c r="AQ48" s="1781">
        <v>20</v>
      </c>
    </row>
    <row customHeight="1" ht="22.049999999999997">
      <c r="A49" s="1989" t="s">
        <v>289</v>
      </c>
      <c r="B49" s="1989" t="s">
        <v>290</v>
      </c>
      <c r="C49" s="1989" t="s">
        <v>291</v>
      </c>
      <c r="D49" s="1989" t="s">
        <v>539</v>
      </c>
      <c r="E49" s="2885"/>
      <c r="F49" s="2885"/>
      <c r="G49" s="2885"/>
      <c r="H49" s="2885"/>
      <c r="I49" s="2882"/>
      <c r="J49" s="1989"/>
      <c r="K49" s="1989"/>
      <c r="L49" s="1990"/>
      <c r="P49" s="2883"/>
      <c r="Q49" s="2107"/>
      <c r="R49" s="982"/>
      <c r="S49" s="1904"/>
      <c r="T49" s="991" t="s">
        <v>430</v>
      </c>
      <c r="U49" s="993"/>
      <c r="V49" s="993"/>
      <c r="W49" s="993"/>
      <c r="X49" s="993"/>
      <c r="Y49" s="993"/>
      <c r="Z49" s="993"/>
      <c r="AA49" s="993"/>
      <c r="AB49" s="992"/>
      <c r="AC49" s="993"/>
      <c r="AD49" s="993"/>
      <c r="AE49" s="993"/>
      <c r="AF49" s="993"/>
      <c r="AG49" s="993"/>
      <c r="AH49" s="993"/>
      <c r="AI49" s="992"/>
      <c r="AJ49" s="993"/>
      <c r="AK49" s="2066"/>
      <c r="AM49" s="1126"/>
      <c r="AN49" s="1126" t="str">
        <f>IF(T49="","",T49)</f>
        <v>Добавить группу потребителей</v>
      </c>
      <c r="AO49" s="1126"/>
      <c r="AP49" s="1126"/>
      <c r="AQ49" s="1781">
        <v>21</v>
      </c>
    </row>
    <row customHeight="1" ht="22.049999999999997">
      <c r="A50" s="1989" t="s">
        <v>289</v>
      </c>
      <c r="B50" s="1989" t="s">
        <v>290</v>
      </c>
      <c r="C50" s="1989" t="s">
        <v>291</v>
      </c>
      <c r="D50" s="1989" t="s">
        <v>539</v>
      </c>
      <c r="E50" s="2885"/>
      <c r="F50" s="2885"/>
      <c r="G50" s="2885"/>
      <c r="H50" s="2884"/>
      <c r="I50" s="1989"/>
      <c r="J50" s="1989"/>
      <c r="K50" s="1989"/>
      <c r="L50" s="1990"/>
      <c r="M50" s="1991"/>
      <c r="N50" s="1991"/>
      <c r="O50" s="1163"/>
      <c r="P50" s="986"/>
      <c r="Q50" s="1001"/>
      <c r="R50" s="981"/>
      <c r="S50" s="1904"/>
      <c r="T50" s="998" t="s">
        <v>506</v>
      </c>
      <c r="U50" s="993"/>
      <c r="V50" s="993"/>
      <c r="W50" s="993"/>
      <c r="X50" s="993"/>
      <c r="Y50" s="993"/>
      <c r="Z50" s="993"/>
      <c r="AA50" s="993"/>
      <c r="AB50" s="992"/>
      <c r="AC50" s="993"/>
      <c r="AD50" s="993"/>
      <c r="AE50" s="993"/>
      <c r="AF50" s="993"/>
      <c r="AG50" s="993"/>
      <c r="AH50" s="993"/>
      <c r="AI50" s="992"/>
      <c r="AJ50" s="993"/>
      <c r="AK50" s="929"/>
      <c r="AM50" s="1126"/>
      <c r="AN50" s="1126" t="str">
        <f>IF(T50="","",T50)</f>
        <v>Добавить наименование признака дифференциации</v>
      </c>
      <c r="AO50" s="1126"/>
      <c r="AP50" s="1126"/>
      <c r="AQ50" s="1781">
        <v>21</v>
      </c>
    </row>
    <row s="34658" customFormat="1" customHeight="1" ht="0">
      <c r="A51" s="1969" t="s">
        <v>289</v>
      </c>
      <c r="B51" s="1969" t="s">
        <v>290</v>
      </c>
      <c r="C51" s="1940"/>
      <c r="D51" s="1940"/>
      <c r="E51" s="2885"/>
      <c r="F51" s="2884"/>
      <c r="G51" s="1940"/>
      <c r="H51" s="1940"/>
      <c r="I51" s="1940"/>
      <c r="J51" s="1940"/>
      <c r="K51" s="1940"/>
      <c r="L51" s="2120"/>
      <c r="M51" s="1947"/>
      <c r="N51" s="1947"/>
      <c r="P51" s="1942"/>
      <c r="Q51" s="1943"/>
      <c r="R51" s="1942"/>
      <c r="S51" s="1948"/>
      <c r="T51" s="1951" t="s">
        <v>433</v>
      </c>
      <c r="U51" s="1950"/>
      <c r="V51" s="1950"/>
      <c r="W51" s="1950"/>
      <c r="X51" s="1950"/>
      <c r="Y51" s="1950"/>
      <c r="Z51" s="1950"/>
      <c r="AA51" s="1950"/>
      <c r="AB51" s="1950"/>
      <c r="AC51" s="1950"/>
      <c r="AD51" s="1950"/>
      <c r="AE51" s="1950"/>
      <c r="AF51" s="1950"/>
      <c r="AG51" s="1950"/>
      <c r="AH51" s="1950"/>
      <c r="AI51" s="1950"/>
      <c r="AJ51" s="1950"/>
      <c r="AK51" s="1950"/>
      <c r="AM51" s="1415"/>
      <c r="AN51" s="1415" t="str">
        <f>IF(T51="","",T51)</f>
        <v>Добавить централизованную систему для дифференциации</v>
      </c>
      <c r="AO51" s="1415"/>
      <c r="AP51" s="1415"/>
      <c r="AQ51" s="1144">
        <v>0</v>
      </c>
    </row>
    <row s="34658" customFormat="1" customHeight="1" ht="0">
      <c r="A52" s="1969" t="s">
        <v>289</v>
      </c>
      <c r="B52" s="1969"/>
      <c r="C52" s="1969"/>
      <c r="D52" s="1969"/>
      <c r="E52" s="2884"/>
      <c r="F52" s="1969"/>
      <c r="G52" s="1969"/>
      <c r="H52" s="1969"/>
      <c r="I52" s="1969"/>
      <c r="J52" s="1969"/>
      <c r="K52" s="1969"/>
      <c r="L52" s="1972"/>
      <c r="M52" s="1947"/>
      <c r="N52" s="1947"/>
      <c r="O52" s="1144"/>
      <c r="P52" s="1006"/>
      <c r="Q52" s="1970"/>
      <c r="R52" s="1006"/>
      <c r="S52" s="1948"/>
      <c r="T52" s="1951" t="s">
        <v>434</v>
      </c>
      <c r="U52" s="1950"/>
      <c r="V52" s="1950"/>
      <c r="W52" s="1950"/>
      <c r="X52" s="1950"/>
      <c r="Y52" s="1950"/>
      <c r="Z52" s="1950"/>
      <c r="AA52" s="1950"/>
      <c r="AB52" s="1950"/>
      <c r="AC52" s="1950"/>
      <c r="AD52" s="1950"/>
      <c r="AE52" s="1950"/>
      <c r="AF52" s="1950"/>
      <c r="AG52" s="1950"/>
      <c r="AH52" s="1950"/>
      <c r="AI52" s="1950"/>
      <c r="AJ52" s="1950"/>
      <c r="AK52" s="1950"/>
      <c r="AM52" s="1126"/>
      <c r="AN52" s="1126" t="str">
        <f>IF(T52="","",T52)</f>
        <v>Добавить территорию для дифференциации</v>
      </c>
      <c r="AO52" s="1126"/>
      <c r="AP52" s="1126"/>
      <c r="AQ52" s="1137">
        <v>0</v>
      </c>
    </row>
    <row s="34658" customFormat="1" customHeight="1" ht="0">
      <c r="A53" s="1940"/>
      <c r="B53" s="1940"/>
      <c r="C53" s="1940"/>
      <c r="D53" s="1940"/>
      <c r="E53" s="1969"/>
      <c r="F53" s="1940"/>
      <c r="G53" s="1940"/>
      <c r="H53" s="1940"/>
      <c r="I53" s="1940"/>
      <c r="J53" s="1940"/>
      <c r="K53" s="1940"/>
      <c r="L53" s="2120"/>
      <c r="M53" s="1947"/>
      <c r="N53" s="1947"/>
      <c r="P53" s="1942"/>
      <c r="Q53" s="1943"/>
      <c r="R53" s="1942"/>
      <c r="S53" s="1948"/>
      <c r="T53" s="1951" t="s">
        <v>466</v>
      </c>
      <c r="U53" s="1950"/>
      <c r="V53" s="1950"/>
      <c r="W53" s="1950"/>
      <c r="X53" s="1950"/>
      <c r="Y53" s="1950"/>
      <c r="Z53" s="1950"/>
      <c r="AA53" s="1950"/>
      <c r="AB53" s="1950"/>
      <c r="AC53" s="1950"/>
      <c r="AD53" s="1950"/>
      <c r="AE53" s="1950"/>
      <c r="AF53" s="1950"/>
      <c r="AG53" s="1950"/>
      <c r="AH53" s="1950"/>
      <c r="AI53" s="1950"/>
      <c r="AJ53" s="1950"/>
      <c r="AK53" s="1950"/>
      <c r="AM53" s="1415"/>
      <c r="AN53" s="1415" t="str">
        <f>IF(T53="","",T53)</f>
        <v>Добавить наименование тарифа</v>
      </c>
      <c r="AO53" s="1415"/>
      <c r="AP53" s="1415"/>
      <c r="AQ53" s="1144">
        <v>0</v>
      </c>
    </row>
    <row customHeight="1" ht="11.549999999999999">
      <c r="M54" s="1786"/>
      <c r="N54" s="1786"/>
      <c r="O54" s="1163"/>
      <c r="P54" s="1781"/>
      <c r="Q54" s="1781"/>
      <c r="R54" s="1781"/>
      <c r="S54" s="1781"/>
      <c r="AL54" s="1781"/>
      <c r="AM54" s="1781"/>
      <c r="AN54" s="1781"/>
      <c r="AO54" s="1781"/>
      <c r="AP54" s="1781"/>
      <c r="AQ54" s="1781">
        <v>11</v>
      </c>
    </row>
    <row customHeight="1" ht="14.699999999999998">
      <c r="O55" s="1163"/>
      <c r="S55" s="1879"/>
      <c r="T55" s="2911"/>
      <c r="U55" s="2911"/>
      <c r="V55" s="2911"/>
      <c r="W55" s="2911"/>
      <c r="X55" s="2911"/>
      <c r="Y55" s="2911"/>
      <c r="Z55" s="2911"/>
      <c r="AA55" s="2911"/>
      <c r="AB55" s="2911"/>
      <c r="AC55" s="2911"/>
      <c r="AD55" s="2911"/>
      <c r="AE55" s="2911"/>
      <c r="AF55" s="2911"/>
      <c r="AG55" s="2911"/>
      <c r="AH55" s="2911"/>
      <c r="AI55" s="2911"/>
      <c r="AJ55" s="2911"/>
      <c r="AK55" s="2911"/>
      <c r="AQ55" s="1781">
        <v>14</v>
      </c>
    </row>
    <row customHeight="1" ht="14.699999999999998">
      <c r="O56" s="1163"/>
      <c r="AQ56" s="1781">
        <v>14</v>
      </c>
    </row>
    <row customHeight="1" ht="14.699999999999998">
      <c r="O57" s="1163"/>
      <c r="S57" s="1879"/>
      <c r="T57" s="2911"/>
      <c r="U57" s="2911"/>
      <c r="V57" s="2911"/>
      <c r="W57" s="2911"/>
      <c r="X57" s="2911"/>
      <c r="Y57" s="2911"/>
      <c r="Z57" s="2911"/>
      <c r="AA57" s="2911"/>
      <c r="AB57" s="2911"/>
      <c r="AC57" s="2911"/>
      <c r="AD57" s="2911"/>
      <c r="AE57" s="2911"/>
      <c r="AF57" s="2911"/>
      <c r="AG57" s="2911"/>
      <c r="AH57" s="2911"/>
      <c r="AI57" s="2911"/>
      <c r="AJ57" s="2911"/>
      <c r="AK57" s="2911"/>
      <c r="AQ57" s="1781">
        <v>14</v>
      </c>
    </row>
    <row customHeight="1" ht="22.5" hidden="1">
      <c r="A58" s="1786" t="s">
        <v>82</v>
      </c>
      <c r="B58" s="1786">
        <v>0</v>
      </c>
      <c r="C58" s="1786">
        <v>0</v>
      </c>
      <c r="D58" s="1786">
        <v>0</v>
      </c>
      <c r="E58" s="1786">
        <v>0</v>
      </c>
      <c r="F58" s="1786">
        <v>0</v>
      </c>
      <c r="G58" s="1786">
        <v>0</v>
      </c>
      <c r="H58" s="1786">
        <v>0</v>
      </c>
      <c r="I58" s="1786">
        <v>0</v>
      </c>
      <c r="J58" s="1786">
        <v>0</v>
      </c>
      <c r="K58" s="1786">
        <v>0</v>
      </c>
      <c r="L58" s="2104">
        <v>0</v>
      </c>
      <c r="M58" s="1988">
        <v>0</v>
      </c>
      <c r="N58" s="1988">
        <v>0</v>
      </c>
      <c r="O58" s="1988">
        <v>0</v>
      </c>
      <c r="P58" s="2099">
        <v>3</v>
      </c>
      <c r="Q58" s="970">
        <v>3</v>
      </c>
      <c r="R58" s="970">
        <v>3</v>
      </c>
      <c r="S58" s="1207">
        <v>12</v>
      </c>
      <c r="T58" s="1781">
        <v>35</v>
      </c>
      <c r="U58" s="1781">
        <v>0</v>
      </c>
      <c r="V58" s="1781">
        <v>0</v>
      </c>
      <c r="W58" s="1781">
        <v>0</v>
      </c>
      <c r="X58" s="1781">
        <v>0</v>
      </c>
      <c r="Y58" s="1781">
        <v>0</v>
      </c>
      <c r="Z58" s="1781">
        <v>0</v>
      </c>
      <c r="AA58" s="1781">
        <v>0</v>
      </c>
      <c r="AB58" s="1781">
        <v>0</v>
      </c>
      <c r="AC58" s="1781">
        <v>24</v>
      </c>
      <c r="AD58" s="1781">
        <v>24</v>
      </c>
      <c r="AE58" s="1781">
        <v>24</v>
      </c>
      <c r="AF58" s="1781">
        <v>11</v>
      </c>
      <c r="AG58" s="1781">
        <v>3</v>
      </c>
      <c r="AH58" s="1781">
        <v>11</v>
      </c>
      <c r="AI58" s="1781">
        <v>0</v>
      </c>
      <c r="AJ58" s="1781">
        <v>4</v>
      </c>
      <c r="AK58" s="1781">
        <v>115</v>
      </c>
      <c r="AL58" s="1137">
        <v>10</v>
      </c>
      <c r="AM58" s="1137">
        <v>10</v>
      </c>
      <c r="AN58" s="1137">
        <v>10</v>
      </c>
      <c r="AO58" s="1137">
        <v>10</v>
      </c>
      <c r="AP58" s="1137">
        <v>10</v>
      </c>
      <c r="AQ58" s="1781">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A7B5D3-E513-7CF5-D8EF-FFE9E5D370F9}"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34657" width="11.57421875" hidden="1" customWidth="1"/>
    <col min="2" max="2" style="34657" width="11.00390625" hidden="1" customWidth="1"/>
    <col min="3" max="3" style="34657" width="10.57421875" hidden="1"/>
    <col min="4" max="4" style="34657" width="12.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2.00390625" hidden="1" customWidth="1"/>
    <col min="10" max="10" style="34657" width="9.8515625" hidden="1" customWidth="1"/>
    <col min="11" max="11" style="34657" width="11.421875" hidden="1" customWidth="1"/>
    <col min="12" max="12" style="35439" width="19.140625" hidden="1" customWidth="1"/>
    <col min="13" max="14" style="35440" width="12.28125" hidden="1" customWidth="1"/>
    <col min="15" max="15" style="35440" width="23.421875" hidden="1" customWidth="1"/>
    <col min="16" max="16" style="35440" width="3.7109375" hidden="1" customWidth="1"/>
    <col min="17" max="17" style="35625" width="3.7109375" hidden="1" customWidth="1"/>
    <col min="18" max="18" style="35442" width="3.00390625" customWidth="1"/>
    <col min="19" max="19" style="35443" width="12.00390625" customWidth="1"/>
    <col min="20" max="20" style="34580" width="31.00390625" customWidth="1"/>
    <col min="21" max="21" style="34580" width="0.140625" customWidth="1"/>
    <col min="22" max="25" style="34580" width="21.710937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3.7109375" customWidth="1"/>
    <col min="31" max="32" style="34580" width="3.00390625" customWidth="1"/>
    <col min="33" max="33" style="34580" width="24.00390625" customWidth="1"/>
    <col min="34" max="34" style="34580" width="3.7109375" customWidth="1"/>
    <col min="35" max="36" style="34580" width="3.00390625" customWidth="1"/>
    <col min="37" max="37" style="34580" width="24.00390625" customWidth="1"/>
    <col min="38" max="38" style="34580" width="3.7109375" customWidth="1"/>
    <col min="39" max="40" style="34580" width="3.00390625" customWidth="1"/>
    <col min="41" max="41" style="34580" width="18.00390625" customWidth="1"/>
    <col min="42" max="42" style="34580" width="3.7109375" customWidth="1"/>
    <col min="43" max="44" style="34580" width="3.00390625" customWidth="1"/>
    <col min="45" max="45" style="34580" width="18.00390625" customWidth="1"/>
    <col min="46" max="49" style="34580" width="21.00390625" customWidth="1"/>
    <col min="50" max="50" style="34580" width="11.00390625" customWidth="1"/>
    <col min="51" max="51" style="34580" width="3.7109375" customWidth="1"/>
    <col min="52" max="52" style="34580" width="11.00390625" customWidth="1"/>
    <col min="53" max="53" style="34580" width="8.57421875" hidden="1" customWidth="1"/>
    <col min="54" max="54" style="34580" width="4.00390625" customWidth="1"/>
    <col min="55" max="55" style="34580" width="115.00390625" customWidth="1"/>
    <col min="56" max="60" style="34658" width="10.00390625" customWidth="1"/>
    <col min="61" max="61" style="34580" width="10.57421875" hidden="1"/>
  </cols>
  <sheetData>
    <row customHeight="1" ht="22.5" hidden="1">
      <c r="W1" s="953"/>
      <c r="Y1" s="953"/>
      <c r="Z1" s="953"/>
      <c r="AW1" s="953"/>
      <c r="AX1" s="953"/>
      <c r="BI1" s="1781" t="s">
        <v>14</v>
      </c>
    </row>
    <row customHeight="1" ht="21" hidden="1">
      <c r="A2" s="1989"/>
      <c r="B2" s="1989"/>
      <c r="C2" s="1989"/>
      <c r="D2" s="1989"/>
      <c r="E2" s="2884">
        <v>1</v>
      </c>
      <c r="F2" s="1989"/>
      <c r="G2" s="1989"/>
      <c r="H2" s="1989"/>
      <c r="I2" s="1989"/>
      <c r="J2" s="1989"/>
      <c r="K2" s="1989"/>
      <c r="L2" s="1990"/>
      <c r="M2" s="1991"/>
      <c r="N2" s="1991"/>
      <c r="O2" s="1991"/>
      <c r="P2" s="2035"/>
      <c r="Q2" s="1499"/>
      <c r="R2" s="981"/>
      <c r="S2" s="2119">
        <f>INDEX(PT_DIFFERENTIATION_NUM_NTAR,MATCH(A2,PT_DIFFERENTIATION_NTAR_ID,0))</f>
      </c>
      <c r="T2" s="924" t="s">
        <v>143</v>
      </c>
      <c r="U2" s="926"/>
      <c r="V2" s="2869"/>
      <c r="W2" s="2869"/>
      <c r="X2" s="2869"/>
      <c r="Y2" s="2869"/>
      <c r="Z2" s="2869"/>
      <c r="AA2" s="2869"/>
      <c r="AB2" s="2869"/>
      <c r="AC2" s="2870"/>
      <c r="AD2" s="2868">
        <f>INDEX(PT_DIFFERENTIATION_NTAR,MATCH(A2,PT_DIFFERENTIATION_NTAR_ID,0))</f>
      </c>
      <c r="AE2" s="2869"/>
      <c r="AF2" s="2869"/>
      <c r="AG2" s="2869"/>
      <c r="AH2" s="2869"/>
      <c r="AI2" s="2869"/>
      <c r="AJ2" s="2869"/>
      <c r="AK2" s="2869"/>
      <c r="AL2" s="2869"/>
      <c r="AM2" s="2869"/>
      <c r="AN2" s="2869"/>
      <c r="AO2" s="2869"/>
      <c r="AP2" s="2869"/>
      <c r="AQ2" s="2869"/>
      <c r="AR2" s="2869"/>
      <c r="AS2" s="2869"/>
      <c r="AT2" s="2869"/>
      <c r="AU2" s="2869"/>
      <c r="AV2" s="2869"/>
      <c r="AW2" s="2869"/>
      <c r="AX2" s="2869"/>
      <c r="AY2" s="2869"/>
      <c r="AZ2" s="2869"/>
      <c r="BA2" s="2869"/>
      <c r="BB2" s="2870"/>
      <c r="BC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26"/>
      <c r="BF2" s="1126" t="str">
        <f>IF(T2="","",T2)</f>
        <v>Наименование тарифа</v>
      </c>
      <c r="BG2" s="1126"/>
      <c r="BH2" s="1126"/>
      <c r="BI2" s="1781">
        <v>0</v>
      </c>
    </row>
    <row customHeight="1" ht="21" hidden="1">
      <c r="A3" s="1989"/>
      <c r="B3" s="1989"/>
      <c r="C3" s="1989"/>
      <c r="D3" s="1989"/>
      <c r="E3" s="2885"/>
      <c r="F3" s="2884">
        <v>1</v>
      </c>
      <c r="G3" s="1989"/>
      <c r="H3" s="1989"/>
      <c r="I3" s="1989"/>
      <c r="J3" s="1989"/>
      <c r="K3" s="1989"/>
      <c r="L3" s="1990"/>
      <c r="M3" s="1991"/>
      <c r="N3" s="1991"/>
      <c r="O3" s="1991"/>
      <c r="P3" s="2036"/>
      <c r="Q3" s="2037"/>
      <c r="R3" s="979"/>
      <c r="S3" s="2119">
        <f>INDEX(PT_DIFFERENTIATION_NUM_TER,MATCH(B3,PT_DIFFERENTIATION_TER_ID,0))</f>
      </c>
      <c r="T3" s="934" t="s">
        <v>415</v>
      </c>
      <c r="U3" s="926"/>
      <c r="V3" s="2869"/>
      <c r="W3" s="2869"/>
      <c r="X3" s="2869"/>
      <c r="Y3" s="2869"/>
      <c r="Z3" s="2869"/>
      <c r="AA3" s="2869"/>
      <c r="AB3" s="2869"/>
      <c r="AC3" s="2870"/>
      <c r="AD3" s="2868">
        <f>INDEX(PT_DIFFERENTIATION_TER,MATCH(B3,PT_DIFFERENTIATION_TER_ID,0))</f>
      </c>
      <c r="AE3" s="2869"/>
      <c r="AF3" s="2869"/>
      <c r="AG3" s="2869"/>
      <c r="AH3" s="2869"/>
      <c r="AI3" s="2869"/>
      <c r="AJ3" s="2869"/>
      <c r="AK3" s="2869"/>
      <c r="AL3" s="2869"/>
      <c r="AM3" s="2869"/>
      <c r="AN3" s="2869"/>
      <c r="AO3" s="2869"/>
      <c r="AP3" s="2869"/>
      <c r="AQ3" s="2869"/>
      <c r="AR3" s="2869"/>
      <c r="AS3" s="2869"/>
      <c r="AT3" s="2869"/>
      <c r="AU3" s="2869"/>
      <c r="AV3" s="2869"/>
      <c r="AW3" s="2869"/>
      <c r="AX3" s="2869"/>
      <c r="AY3" s="2869"/>
      <c r="AZ3" s="2869"/>
      <c r="BA3" s="2869"/>
      <c r="BB3" s="2870"/>
      <c r="BC3" s="1884" t="s">
        <v>416</v>
      </c>
      <c r="BE3" s="1126"/>
      <c r="BF3" s="1126" t="str">
        <f>IF(T3="","",T3)</f>
        <v>Территория действия тарифа</v>
      </c>
      <c r="BG3" s="1126"/>
      <c r="BH3" s="1126"/>
      <c r="BI3" s="1781">
        <v>0</v>
      </c>
    </row>
    <row customHeight="1" ht="33.75" hidden="1">
      <c r="A4" s="1989"/>
      <c r="B4" s="1989"/>
      <c r="C4" s="1989"/>
      <c r="D4" s="1989"/>
      <c r="E4" s="2885"/>
      <c r="F4" s="2885"/>
      <c r="G4" s="2884">
        <v>1</v>
      </c>
      <c r="H4" s="1989"/>
      <c r="I4" s="1989"/>
      <c r="J4" s="1989"/>
      <c r="K4" s="1989"/>
      <c r="L4" s="1990"/>
      <c r="M4" s="1991"/>
      <c r="N4" s="1991"/>
      <c r="O4" s="1991"/>
      <c r="P4" s="2038"/>
      <c r="Q4" s="2037"/>
      <c r="R4" s="979"/>
      <c r="S4" s="2119">
        <f>INDEX(PT_DIFFERENTIATION_NUM_CS,MATCH(C4,PT_DIFFERENTIATION_CS_ID,0))</f>
      </c>
      <c r="T4" s="935" t="s">
        <v>534</v>
      </c>
      <c r="U4" s="926"/>
      <c r="V4" s="2869"/>
      <c r="W4" s="2869"/>
      <c r="X4" s="2869"/>
      <c r="Y4" s="2869"/>
      <c r="Z4" s="2869"/>
      <c r="AA4" s="2869"/>
      <c r="AB4" s="2869"/>
      <c r="AC4" s="2870"/>
      <c r="AD4" s="2868">
        <f>INDEX(PT_DIFFERENTIATION_CS,MATCH(C4,PT_DIFFERENTIATION_CS_ID,0))</f>
      </c>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869"/>
      <c r="BB4" s="2870"/>
      <c r="BC4" s="1884" t="s">
        <v>535</v>
      </c>
      <c r="BE4" s="1126"/>
      <c r="BF4" s="1126" t="str">
        <f>IF(T4="","",T4)</f>
        <v>Наименование централизованной системы водоотведения</v>
      </c>
      <c r="BG4" s="1126"/>
      <c r="BH4" s="1126"/>
      <c r="BI4" s="1781">
        <v>0</v>
      </c>
    </row>
    <row s="34658" customFormat="1" customHeight="1" ht="14.25" hidden="1">
      <c r="A5" s="1969"/>
      <c r="B5" s="1969"/>
      <c r="C5" s="1969"/>
      <c r="D5" s="1969"/>
      <c r="E5" s="2885"/>
      <c r="F5" s="2885"/>
      <c r="G5" s="2885"/>
      <c r="H5" s="2884">
        <v>1</v>
      </c>
      <c r="I5" s="1969"/>
      <c r="J5" s="1969"/>
      <c r="K5" s="1969"/>
      <c r="L5" s="1972"/>
      <c r="M5" s="1941"/>
      <c r="N5" s="1941"/>
      <c r="O5" s="1941"/>
      <c r="P5" s="2123"/>
      <c r="Q5" s="2124"/>
      <c r="R5" s="983"/>
      <c r="S5" s="1668"/>
      <c r="T5" s="2125"/>
      <c r="U5" s="2010"/>
      <c r="V5" s="2923"/>
      <c r="W5" s="2923"/>
      <c r="X5" s="2923"/>
      <c r="Y5" s="2923"/>
      <c r="Z5" s="2923"/>
      <c r="AA5" s="2923"/>
      <c r="AB5" s="2923"/>
      <c r="AC5" s="2924"/>
      <c r="AD5" s="2922"/>
      <c r="AE5" s="2923"/>
      <c r="AF5" s="2923"/>
      <c r="AG5" s="2923"/>
      <c r="AH5" s="2923"/>
      <c r="AI5" s="2923"/>
      <c r="AJ5" s="2923"/>
      <c r="AK5" s="2923"/>
      <c r="AL5" s="2923"/>
      <c r="AM5" s="2923"/>
      <c r="AN5" s="2923"/>
      <c r="AO5" s="2923"/>
      <c r="AP5" s="2923"/>
      <c r="AQ5" s="2923"/>
      <c r="AR5" s="2923"/>
      <c r="AS5" s="2923"/>
      <c r="AT5" s="2923"/>
      <c r="AU5" s="2923"/>
      <c r="AV5" s="2923"/>
      <c r="AW5" s="2923"/>
      <c r="AX5" s="2923"/>
      <c r="AY5" s="2923"/>
      <c r="AZ5" s="2923"/>
      <c r="BA5" s="2923"/>
      <c r="BB5" s="2924"/>
      <c r="BC5" s="2011" t="s">
        <v>420</v>
      </c>
      <c r="BE5" s="1126"/>
      <c r="BF5" s="1126" t="str">
        <f>IF(T5="","",T5)</f>
        <v/>
      </c>
      <c r="BG5" s="1126"/>
      <c r="BH5" s="1126"/>
      <c r="BI5" s="1137">
        <v>0</v>
      </c>
    </row>
    <row s="34658" customFormat="1" customHeight="1" ht="14.25" hidden="1">
      <c r="A6" s="1969"/>
      <c r="B6" s="1969"/>
      <c r="C6" s="1969"/>
      <c r="D6" s="1969"/>
      <c r="E6" s="2885"/>
      <c r="F6" s="2885"/>
      <c r="G6" s="2885"/>
      <c r="H6" s="2885"/>
      <c r="I6" s="2882" t="str">
        <f>S5&amp;".1"</f>
        <v>.1</v>
      </c>
      <c r="J6" s="1969"/>
      <c r="K6" s="1969"/>
      <c r="L6" s="1972" t="s">
        <v>421</v>
      </c>
      <c r="M6" s="1136"/>
      <c r="N6" s="1136"/>
      <c r="O6" s="1136"/>
      <c r="P6" s="2883">
        <v>1</v>
      </c>
      <c r="Q6" s="2107"/>
      <c r="R6" s="982"/>
      <c r="S6" s="1668"/>
      <c r="T6" s="2009"/>
      <c r="U6" s="2010"/>
      <c r="V6" s="2923"/>
      <c r="W6" s="2923"/>
      <c r="X6" s="2923"/>
      <c r="Y6" s="2923"/>
      <c r="Z6" s="2923"/>
      <c r="AA6" s="2923"/>
      <c r="AB6" s="2923"/>
      <c r="AC6" s="2924"/>
      <c r="AD6" s="2922"/>
      <c r="AE6" s="2923"/>
      <c r="AF6" s="2923"/>
      <c r="AG6" s="2923"/>
      <c r="AH6" s="2923"/>
      <c r="AI6" s="2923"/>
      <c r="AJ6" s="2923"/>
      <c r="AK6" s="2923"/>
      <c r="AL6" s="2923"/>
      <c r="AM6" s="2923"/>
      <c r="AN6" s="2923"/>
      <c r="AO6" s="2923"/>
      <c r="AP6" s="2923"/>
      <c r="AQ6" s="2923"/>
      <c r="AR6" s="2923"/>
      <c r="AS6" s="2923"/>
      <c r="AT6" s="2923"/>
      <c r="AU6" s="2923"/>
      <c r="AV6" s="2923"/>
      <c r="AW6" s="2923"/>
      <c r="AX6" s="2923"/>
      <c r="AY6" s="2923"/>
      <c r="AZ6" s="2923"/>
      <c r="BA6" s="2923"/>
      <c r="BB6" s="2924"/>
      <c r="BC6" s="2011"/>
      <c r="BE6" s="1126"/>
      <c r="BF6" s="1126" t="str">
        <f>IF(T6="","",T6)</f>
        <v/>
      </c>
      <c r="BG6" s="1126"/>
      <c r="BH6" s="1126"/>
      <c r="BI6" s="1137">
        <v>0</v>
      </c>
    </row>
    <row s="34658" customFormat="1" customHeight="1" ht="14.25" hidden="1">
      <c r="A7" s="1969"/>
      <c r="B7" s="1969"/>
      <c r="C7" s="1969"/>
      <c r="D7" s="1969"/>
      <c r="E7" s="2885"/>
      <c r="F7" s="2885"/>
      <c r="G7" s="2885"/>
      <c r="H7" s="2885"/>
      <c r="I7" s="2912"/>
      <c r="J7" s="2882" t="str">
        <f>S5&amp;".1"</f>
        <v>.1</v>
      </c>
      <c r="K7" s="1969"/>
      <c r="L7" s="1972"/>
      <c r="M7" s="1136"/>
      <c r="N7" s="1136"/>
      <c r="O7" s="1136"/>
      <c r="P7" s="2883"/>
      <c r="Q7" s="2883">
        <v>1</v>
      </c>
      <c r="R7" s="983"/>
      <c r="S7" s="1668"/>
      <c r="T7" s="2025"/>
      <c r="U7" s="2010"/>
      <c r="V7" s="2923"/>
      <c r="W7" s="2923"/>
      <c r="X7" s="2923"/>
      <c r="Y7" s="2923"/>
      <c r="Z7" s="2923"/>
      <c r="AA7" s="2923"/>
      <c r="AB7" s="2923"/>
      <c r="AC7" s="2924"/>
      <c r="AD7" s="2922"/>
      <c r="AE7" s="2923"/>
      <c r="AF7" s="2923"/>
      <c r="AG7" s="2923"/>
      <c r="AH7" s="2923"/>
      <c r="AI7" s="2923"/>
      <c r="AJ7" s="2923"/>
      <c r="AK7" s="2923"/>
      <c r="AL7" s="2923"/>
      <c r="AM7" s="2923"/>
      <c r="AN7" s="2923"/>
      <c r="AO7" s="2923"/>
      <c r="AP7" s="2923"/>
      <c r="AQ7" s="2923"/>
      <c r="AR7" s="2923"/>
      <c r="AS7" s="2923"/>
      <c r="AT7" s="2923"/>
      <c r="AU7" s="2923"/>
      <c r="AV7" s="2923"/>
      <c r="AW7" s="2923"/>
      <c r="AX7" s="2923"/>
      <c r="AY7" s="2923"/>
      <c r="AZ7" s="2923"/>
      <c r="BA7" s="2923"/>
      <c r="BB7" s="2924"/>
      <c r="BC7" s="2011"/>
      <c r="BE7" s="1126"/>
      <c r="BF7" s="1126" t="str">
        <f>IF(T7="","",T7)</f>
        <v/>
      </c>
      <c r="BG7" s="1126"/>
      <c r="BH7" s="1126"/>
      <c r="BI7" s="1137">
        <v>0</v>
      </c>
    </row>
    <row customHeight="1" ht="11.25" hidden="1">
      <c r="A8" s="1989"/>
      <c r="B8" s="1989"/>
      <c r="C8" s="1989"/>
      <c r="D8" s="1989"/>
      <c r="E8" s="2885"/>
      <c r="F8" s="2885"/>
      <c r="G8" s="2885"/>
      <c r="H8" s="2885"/>
      <c r="I8" s="2912"/>
      <c r="J8" s="2912"/>
      <c r="K8" s="2882">
        <f>S4&amp;".1"</f>
      </c>
      <c r="L8" s="1990"/>
      <c r="P8" s="2883"/>
      <c r="Q8" s="2883"/>
      <c r="R8" s="2973">
        <v>1</v>
      </c>
      <c r="S8" s="2967">
        <f>$K8</f>
      </c>
      <c r="T8" s="2986"/>
      <c r="U8" s="926"/>
      <c r="V8" s="1377"/>
      <c r="W8" s="1883"/>
      <c r="X8" s="1377"/>
      <c r="Y8" s="1883"/>
      <c r="Z8" s="2360"/>
      <c r="AA8" s="2095" t="s">
        <v>66</v>
      </c>
      <c r="AB8" s="2360"/>
      <c r="AC8" s="2095" t="s">
        <v>66</v>
      </c>
      <c r="AD8" s="2811" t="s">
        <v>66</v>
      </c>
      <c r="AE8" s="2952"/>
      <c r="AF8" s="2831">
        <v>1</v>
      </c>
      <c r="AG8" s="2989"/>
      <c r="AH8" s="2733" t="s">
        <v>66</v>
      </c>
      <c r="AI8" s="2952"/>
      <c r="AJ8" s="2831">
        <v>1</v>
      </c>
      <c r="AK8" s="2953" t="s">
        <v>22</v>
      </c>
      <c r="AL8" s="2733" t="s">
        <v>66</v>
      </c>
      <c r="AM8" s="2818"/>
      <c r="AN8" s="2831">
        <v>1</v>
      </c>
      <c r="AO8" s="2983"/>
      <c r="AP8" s="2984" t="s">
        <v>66</v>
      </c>
      <c r="AQ8" s="937"/>
      <c r="AR8" s="2112">
        <v>1</v>
      </c>
      <c r="AS8" s="2118" t="s">
        <v>22</v>
      </c>
      <c r="AT8" s="1377"/>
      <c r="AU8" s="1883"/>
      <c r="AV8" s="1377"/>
      <c r="AW8" s="1883"/>
      <c r="AX8" s="2360"/>
      <c r="AY8" s="2095" t="s">
        <v>66</v>
      </c>
      <c r="AZ8" s="2360"/>
      <c r="BA8" s="2095" t="s">
        <v>66</v>
      </c>
      <c r="BB8" s="1974"/>
      <c r="BC8" s="2879" t="s">
        <v>519</v>
      </c>
      <c r="BE8" s="1126"/>
      <c r="BF8" s="1126" t="str">
        <f>IF(T8="","",T8)</f>
        <v/>
      </c>
      <c r="BG8" s="1126"/>
      <c r="BH8" s="1126"/>
      <c r="BI8" s="1781">
        <v>0</v>
      </c>
    </row>
    <row customHeight="1" ht="11.25" hidden="1">
      <c r="A9" s="1989"/>
      <c r="B9" s="1989"/>
      <c r="C9" s="1989"/>
      <c r="D9" s="1989"/>
      <c r="E9" s="2885"/>
      <c r="F9" s="2885"/>
      <c r="G9" s="2885"/>
      <c r="H9" s="2885"/>
      <c r="I9" s="2912"/>
      <c r="J9" s="2912"/>
      <c r="K9" s="2882"/>
      <c r="L9" s="1990"/>
      <c r="P9" s="2883"/>
      <c r="Q9" s="2883"/>
      <c r="R9" s="2973"/>
      <c r="S9" s="2968"/>
      <c r="T9" s="2987"/>
      <c r="U9" s="926"/>
      <c r="V9" s="2019"/>
      <c r="W9" s="2122"/>
      <c r="X9" s="2019"/>
      <c r="Y9" s="2122"/>
      <c r="Z9" s="2019"/>
      <c r="AA9" s="2019"/>
      <c r="AB9" s="2019"/>
      <c r="AC9" s="2019"/>
      <c r="AD9" s="2812"/>
      <c r="AE9" s="2952"/>
      <c r="AF9" s="2831"/>
      <c r="AG9" s="2989"/>
      <c r="AH9" s="2733"/>
      <c r="AI9" s="2952"/>
      <c r="AJ9" s="2831"/>
      <c r="AK9" s="2953"/>
      <c r="AL9" s="2733"/>
      <c r="AM9" s="2826"/>
      <c r="AN9" s="2831"/>
      <c r="AO9" s="2983"/>
      <c r="AP9" s="2985"/>
      <c r="AQ9" s="942"/>
      <c r="AR9" s="1042"/>
      <c r="AS9" s="1042" t="s">
        <v>520</v>
      </c>
      <c r="AT9" s="2019"/>
      <c r="AU9" s="2122"/>
      <c r="AV9" s="2019"/>
      <c r="AW9" s="2122"/>
      <c r="AX9" s="2019"/>
      <c r="AY9" s="2019"/>
      <c r="AZ9" s="2019"/>
      <c r="BA9" s="2019"/>
      <c r="BB9" s="2023"/>
      <c r="BC9" s="2880"/>
      <c r="BE9" s="1126"/>
      <c r="BF9" s="1126"/>
      <c r="BG9" s="1126"/>
      <c r="BH9" s="1126"/>
      <c r="BI9" s="1781">
        <v>0</v>
      </c>
    </row>
    <row customHeight="1" ht="11.25" hidden="1">
      <c r="A10" s="1989"/>
      <c r="B10" s="1989"/>
      <c r="C10" s="1989"/>
      <c r="D10" s="1989"/>
      <c r="E10" s="2885"/>
      <c r="F10" s="2885"/>
      <c r="G10" s="2885"/>
      <c r="H10" s="2885"/>
      <c r="I10" s="2912"/>
      <c r="J10" s="2912"/>
      <c r="K10" s="2882"/>
      <c r="L10" s="1990"/>
      <c r="P10" s="2883"/>
      <c r="Q10" s="2883"/>
      <c r="R10" s="2973"/>
      <c r="S10" s="2968"/>
      <c r="T10" s="2987"/>
      <c r="U10" s="926"/>
      <c r="V10" s="2019"/>
      <c r="W10" s="2122"/>
      <c r="X10" s="2019"/>
      <c r="Y10" s="2122"/>
      <c r="Z10" s="2019"/>
      <c r="AA10" s="2019"/>
      <c r="AB10" s="2019"/>
      <c r="AC10" s="2019"/>
      <c r="AD10" s="2812"/>
      <c r="AE10" s="2952"/>
      <c r="AF10" s="2831"/>
      <c r="AG10" s="2989"/>
      <c r="AH10" s="2733"/>
      <c r="AI10" s="2952"/>
      <c r="AJ10" s="2831"/>
      <c r="AK10" s="2953"/>
      <c r="AL10" s="2733"/>
      <c r="AM10" s="942"/>
      <c r="AN10" s="2126"/>
      <c r="AO10" s="2126" t="s">
        <v>540</v>
      </c>
      <c r="AP10" s="1042"/>
      <c r="AQ10" s="1042"/>
      <c r="AR10" s="1042"/>
      <c r="AS10" s="2019"/>
      <c r="AT10" s="2019"/>
      <c r="AU10" s="2122"/>
      <c r="AV10" s="2019"/>
      <c r="AW10" s="2122"/>
      <c r="AX10" s="2019"/>
      <c r="AY10" s="2019"/>
      <c r="AZ10" s="2019"/>
      <c r="BA10" s="2019"/>
      <c r="BB10" s="2023"/>
      <c r="BC10" s="2880"/>
      <c r="BE10" s="1126"/>
      <c r="BF10" s="1126"/>
      <c r="BG10" s="1126"/>
      <c r="BH10" s="1126"/>
      <c r="BI10" s="1781">
        <v>0</v>
      </c>
    </row>
    <row customHeight="1" ht="11.25" hidden="1">
      <c r="A11" s="1989"/>
      <c r="B11" s="1989"/>
      <c r="C11" s="1989"/>
      <c r="D11" s="1989"/>
      <c r="E11" s="2885"/>
      <c r="F11" s="2885"/>
      <c r="G11" s="2885"/>
      <c r="H11" s="2885"/>
      <c r="I11" s="2912"/>
      <c r="J11" s="2912"/>
      <c r="K11" s="2882"/>
      <c r="L11" s="1990"/>
      <c r="P11" s="2883"/>
      <c r="Q11" s="2883"/>
      <c r="R11" s="2973"/>
      <c r="S11" s="2968"/>
      <c r="T11" s="2987"/>
      <c r="U11" s="926"/>
      <c r="V11" s="2019"/>
      <c r="W11" s="2122"/>
      <c r="X11" s="2019"/>
      <c r="Y11" s="2122"/>
      <c r="Z11" s="2019"/>
      <c r="AA11" s="2019"/>
      <c r="AB11" s="2019"/>
      <c r="AC11" s="2019"/>
      <c r="AD11" s="2812"/>
      <c r="AE11" s="2952"/>
      <c r="AF11" s="2831"/>
      <c r="AG11" s="2989"/>
      <c r="AH11" s="2733"/>
      <c r="AI11" s="920"/>
      <c r="AJ11" s="1041"/>
      <c r="AK11" s="939" t="s">
        <v>541</v>
      </c>
      <c r="AL11" s="2019"/>
      <c r="AM11" s="2019"/>
      <c r="AN11" s="2019"/>
      <c r="AO11" s="2019"/>
      <c r="AP11" s="2019"/>
      <c r="AQ11" s="2019"/>
      <c r="AR11" s="2019"/>
      <c r="AS11" s="2019"/>
      <c r="AT11" s="2019"/>
      <c r="AU11" s="2122"/>
      <c r="AV11" s="2019"/>
      <c r="AW11" s="2122"/>
      <c r="AX11" s="2019"/>
      <c r="AY11" s="2019"/>
      <c r="AZ11" s="2019"/>
      <c r="BA11" s="2019"/>
      <c r="BB11" s="2023"/>
      <c r="BC11" s="2880"/>
      <c r="BE11" s="1126"/>
      <c r="BF11" s="1126"/>
      <c r="BG11" s="1126"/>
      <c r="BH11" s="1126"/>
      <c r="BI11" s="1781">
        <v>0</v>
      </c>
    </row>
    <row customHeight="1" ht="11.25" hidden="1">
      <c r="A12" s="1989"/>
      <c r="B12" s="1989"/>
      <c r="C12" s="1989"/>
      <c r="D12" s="1989"/>
      <c r="E12" s="2885"/>
      <c r="F12" s="2885"/>
      <c r="G12" s="2885"/>
      <c r="H12" s="2885"/>
      <c r="I12" s="2912"/>
      <c r="J12" s="2912"/>
      <c r="K12" s="2882"/>
      <c r="L12" s="1990"/>
      <c r="P12" s="2883"/>
      <c r="Q12" s="2883"/>
      <c r="R12" s="2973"/>
      <c r="S12" s="2969"/>
      <c r="T12" s="2988"/>
      <c r="U12" s="926"/>
      <c r="V12" s="2019"/>
      <c r="W12" s="2020" t="str">
        <f>Z8&amp;"-"&amp;AB8</f>
        <v>-</v>
      </c>
      <c r="X12" s="2019"/>
      <c r="Y12" s="2020" t="str">
        <f>AB8&amp;"-"&amp;AD8</f>
        <v>-да</v>
      </c>
      <c r="Z12" s="2019"/>
      <c r="AA12" s="2019"/>
      <c r="AB12" s="2019"/>
      <c r="AC12" s="2019"/>
      <c r="AD12" s="2738"/>
      <c r="AE12" s="938"/>
      <c r="AF12" s="940"/>
      <c r="AG12" s="1042" t="s">
        <v>523</v>
      </c>
      <c r="AH12" s="2019"/>
      <c r="AI12" s="2019"/>
      <c r="AJ12" s="2019"/>
      <c r="AK12" s="2019"/>
      <c r="AL12" s="2019"/>
      <c r="AM12" s="2019"/>
      <c r="AN12" s="2019"/>
      <c r="AO12" s="2019"/>
      <c r="AP12" s="2019"/>
      <c r="AQ12" s="2019"/>
      <c r="AR12" s="2019"/>
      <c r="AS12" s="2019"/>
      <c r="AT12" s="2019"/>
      <c r="AU12" s="2020" t="str">
        <f>AX8&amp;"-"&amp;AZ8</f>
        <v>-</v>
      </c>
      <c r="AV12" s="2019"/>
      <c r="AW12" s="2020" t="str">
        <f>AZ8&amp;"-"&amp;BB8</f>
        <v>-</v>
      </c>
      <c r="AX12" s="2019"/>
      <c r="AY12" s="2019"/>
      <c r="AZ12" s="2019"/>
      <c r="BA12" s="2019"/>
      <c r="BB12" s="2022" t="str">
        <f>BE8&amp;"-"&amp;BG8</f>
        <v>-</v>
      </c>
      <c r="BC12" s="2880"/>
      <c r="BE12" s="1126"/>
      <c r="BF12" s="1126" t="str">
        <f>IF(T12="","",T12)</f>
        <v/>
      </c>
      <c r="BG12" s="1126"/>
      <c r="BH12" s="1126"/>
      <c r="BI12" s="1781">
        <v>0</v>
      </c>
    </row>
    <row customHeight="1" ht="11.25" hidden="1">
      <c r="A13" s="1989"/>
      <c r="B13" s="1989"/>
      <c r="C13" s="1989"/>
      <c r="D13" s="1989"/>
      <c r="E13" s="2885"/>
      <c r="F13" s="2885"/>
      <c r="G13" s="2885"/>
      <c r="H13" s="2885"/>
      <c r="I13" s="2912"/>
      <c r="J13" s="2882"/>
      <c r="K13" s="1989"/>
      <c r="L13" s="1990"/>
      <c r="P13" s="2883"/>
      <c r="Q13" s="2883"/>
      <c r="R13" s="982"/>
      <c r="S13" s="1904"/>
      <c r="T13" s="913" t="s">
        <v>486</v>
      </c>
      <c r="U13" s="993"/>
      <c r="V13" s="993"/>
      <c r="W13" s="993"/>
      <c r="X13" s="993"/>
      <c r="Y13" s="993"/>
      <c r="Z13" s="993"/>
      <c r="AA13" s="993"/>
      <c r="AB13" s="993"/>
      <c r="AC13" s="993"/>
      <c r="AD13" s="2131"/>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50"/>
      <c r="BC13" s="2881"/>
      <c r="BE13" s="1126"/>
      <c r="BF13" s="1126" t="str">
        <f>IF(T13="","",T13)</f>
        <v>Добавить строку</v>
      </c>
      <c r="BG13" s="1126"/>
      <c r="BH13" s="1126"/>
      <c r="BI13" s="1781">
        <v>0</v>
      </c>
    </row>
    <row s="34658" customFormat="1" customHeight="1" ht="14.25" hidden="1">
      <c r="A14" s="1969"/>
      <c r="B14" s="1969"/>
      <c r="C14" s="1969"/>
      <c r="D14" s="1969"/>
      <c r="E14" s="2885"/>
      <c r="F14" s="2885"/>
      <c r="G14" s="2885"/>
      <c r="H14" s="2885"/>
      <c r="I14" s="2882"/>
      <c r="J14" s="1969"/>
      <c r="K14" s="1969"/>
      <c r="L14" s="1972"/>
      <c r="M14" s="1136"/>
      <c r="N14" s="1136"/>
      <c r="O14" s="1136"/>
      <c r="P14" s="2883"/>
      <c r="Q14" s="2107"/>
      <c r="R14" s="982"/>
      <c r="S14" s="2012"/>
      <c r="T14" s="2013"/>
      <c r="U14" s="2014"/>
      <c r="V14" s="2014"/>
      <c r="W14" s="2014"/>
      <c r="X14" s="2014"/>
      <c r="Y14" s="2014"/>
      <c r="Z14" s="2014"/>
      <c r="AA14" s="2014"/>
      <c r="AB14" s="2014"/>
      <c r="AC14" s="2014"/>
      <c r="AD14" s="2014"/>
      <c r="AE14" s="2014"/>
      <c r="AF14" s="2014"/>
      <c r="AG14" s="2014"/>
      <c r="AH14" s="2014"/>
      <c r="AI14" s="2014"/>
      <c r="AJ14" s="2014"/>
      <c r="AK14" s="2014"/>
      <c r="AL14" s="2014"/>
      <c r="AM14" s="2014"/>
      <c r="AN14" s="2014"/>
      <c r="AO14" s="2014"/>
      <c r="AP14" s="2014"/>
      <c r="AQ14" s="2014"/>
      <c r="AR14" s="2014"/>
      <c r="AS14" s="2014"/>
      <c r="AT14" s="2014"/>
      <c r="AU14" s="2014"/>
      <c r="AV14" s="2014"/>
      <c r="AW14" s="2014"/>
      <c r="AX14" s="2014"/>
      <c r="AY14" s="2014"/>
      <c r="AZ14" s="2014"/>
      <c r="BA14" s="2014"/>
      <c r="BB14" s="2014"/>
      <c r="BC14" s="2015"/>
      <c r="BE14" s="1126"/>
      <c r="BF14" s="1126" t="str">
        <f>IF(T14="","",T14)</f>
        <v/>
      </c>
      <c r="BG14" s="1126"/>
      <c r="BH14" s="1126"/>
      <c r="BI14" s="1137">
        <v>0</v>
      </c>
    </row>
    <row s="34658" customFormat="1" customHeight="1" ht="14.25" hidden="1">
      <c r="A15" s="1969"/>
      <c r="B15" s="1969"/>
      <c r="C15" s="1969"/>
      <c r="D15" s="1969"/>
      <c r="E15" s="2885"/>
      <c r="F15" s="2885"/>
      <c r="G15" s="2885"/>
      <c r="H15" s="2884"/>
      <c r="I15" s="1969"/>
      <c r="J15" s="1969"/>
      <c r="K15" s="1969"/>
      <c r="L15" s="1972"/>
      <c r="M15" s="1941"/>
      <c r="N15" s="1941"/>
      <c r="O15" s="1144"/>
      <c r="P15" s="1006"/>
      <c r="Q15" s="1970"/>
      <c r="R15" s="2027"/>
      <c r="S15" s="2012"/>
      <c r="T15" s="2013"/>
      <c r="U15" s="2014"/>
      <c r="V15" s="2014"/>
      <c r="W15" s="2014"/>
      <c r="X15" s="2014"/>
      <c r="Y15" s="2014"/>
      <c r="Z15" s="2014"/>
      <c r="AA15" s="2014"/>
      <c r="AB15" s="2014"/>
      <c r="AC15" s="2014"/>
      <c r="AD15" s="2014"/>
      <c r="AE15" s="2014"/>
      <c r="AF15" s="2014"/>
      <c r="AG15" s="2014"/>
      <c r="AH15" s="2014"/>
      <c r="AI15" s="2014"/>
      <c r="AJ15" s="2014"/>
      <c r="AK15" s="2014"/>
      <c r="AL15" s="2014"/>
      <c r="AM15" s="2014"/>
      <c r="AN15" s="2014"/>
      <c r="AO15" s="2014"/>
      <c r="AP15" s="2014"/>
      <c r="AQ15" s="2014"/>
      <c r="AR15" s="2014"/>
      <c r="AS15" s="2014"/>
      <c r="AT15" s="2014"/>
      <c r="AU15" s="2014"/>
      <c r="AV15" s="2014"/>
      <c r="AW15" s="2014"/>
      <c r="AX15" s="2014"/>
      <c r="AY15" s="2014"/>
      <c r="AZ15" s="2014"/>
      <c r="BA15" s="2014"/>
      <c r="BB15" s="2014"/>
      <c r="BC15" s="2015"/>
      <c r="BE15" s="1126"/>
      <c r="BF15" s="1126" t="str">
        <f>IF(T15="","",T15)</f>
        <v/>
      </c>
      <c r="BG15" s="1126"/>
      <c r="BH15" s="1126"/>
      <c r="BI15" s="1137">
        <v>0</v>
      </c>
    </row>
    <row s="34658" customFormat="1" customHeight="1" ht="14.25" hidden="1">
      <c r="A16" s="1969"/>
      <c r="B16" s="1969"/>
      <c r="C16" s="1969"/>
      <c r="D16" s="1940"/>
      <c r="E16" s="2885"/>
      <c r="F16" s="2885"/>
      <c r="G16" s="2884"/>
      <c r="H16" s="1940"/>
      <c r="I16" s="1940"/>
      <c r="J16" s="1940"/>
      <c r="K16" s="1940"/>
      <c r="L16" s="2120"/>
      <c r="M16" s="1941"/>
      <c r="N16" s="1941"/>
      <c r="P16" s="1942"/>
      <c r="Q16" s="1943"/>
      <c r="R16" s="1942"/>
      <c r="S16" s="1948"/>
      <c r="T16" s="1951"/>
      <c r="U16" s="1950"/>
      <c r="V16" s="1950"/>
      <c r="W16" s="1950"/>
      <c r="X16" s="1950"/>
      <c r="Y16" s="1950"/>
      <c r="Z16" s="1950"/>
      <c r="AA16" s="1950"/>
      <c r="AB16" s="1950"/>
      <c r="AC16" s="1950"/>
      <c r="AD16" s="1950"/>
      <c r="AE16" s="1950"/>
      <c r="AF16" s="1950"/>
      <c r="AG16" s="1950"/>
      <c r="AH16" s="1950"/>
      <c r="AI16" s="1950"/>
      <c r="AJ16" s="1950"/>
      <c r="AK16" s="1950"/>
      <c r="AL16" s="1950"/>
      <c r="AM16" s="1950"/>
      <c r="AN16" s="1950"/>
      <c r="AO16" s="1950"/>
      <c r="AP16" s="1950"/>
      <c r="AQ16" s="1950"/>
      <c r="AR16" s="1950"/>
      <c r="AS16" s="1950"/>
      <c r="AT16" s="1950"/>
      <c r="AU16" s="1950"/>
      <c r="AV16" s="1950"/>
      <c r="AW16" s="1950"/>
      <c r="AX16" s="1950"/>
      <c r="AY16" s="1950"/>
      <c r="AZ16" s="1950"/>
      <c r="BA16" s="1950"/>
      <c r="BB16" s="1950"/>
      <c r="BC16" s="1950"/>
      <c r="BE16" s="1415"/>
      <c r="BF16" s="1415" t="str">
        <f>IF(T16="","",T16)</f>
        <v/>
      </c>
      <c r="BG16" s="1415"/>
      <c r="BH16" s="1415"/>
      <c r="BI16" s="1144">
        <v>0</v>
      </c>
    </row>
    <row s="34658" customFormat="1" customHeight="1" ht="14.25" hidden="1">
      <c r="A17" s="1969"/>
      <c r="B17" s="1969"/>
      <c r="C17" s="1940"/>
      <c r="D17" s="1940"/>
      <c r="E17" s="2885"/>
      <c r="F17" s="2884"/>
      <c r="G17" s="1940"/>
      <c r="H17" s="1940"/>
      <c r="I17" s="1940"/>
      <c r="J17" s="1940"/>
      <c r="K17" s="1940"/>
      <c r="L17" s="2120"/>
      <c r="M17" s="1947"/>
      <c r="N17" s="1947"/>
      <c r="P17" s="1942"/>
      <c r="Q17" s="1943"/>
      <c r="R17" s="1942"/>
      <c r="S17" s="1948"/>
      <c r="T17" s="1951" t="s">
        <v>433</v>
      </c>
      <c r="U17" s="1950"/>
      <c r="V17" s="1950"/>
      <c r="W17" s="1950"/>
      <c r="X17" s="1950"/>
      <c r="Y17" s="1950"/>
      <c r="Z17" s="1950"/>
      <c r="AA17" s="1950"/>
      <c r="AB17" s="1950"/>
      <c r="AC17" s="1950"/>
      <c r="AD17" s="1950"/>
      <c r="AE17" s="1950"/>
      <c r="AF17" s="1950"/>
      <c r="AG17" s="1950"/>
      <c r="AH17" s="1950"/>
      <c r="AI17" s="1950"/>
      <c r="AJ17" s="1950"/>
      <c r="AK17" s="1950"/>
      <c r="AL17" s="1950"/>
      <c r="AM17" s="1950"/>
      <c r="AN17" s="1950"/>
      <c r="AO17" s="1950"/>
      <c r="AP17" s="1950"/>
      <c r="AQ17" s="1950"/>
      <c r="AR17" s="1950"/>
      <c r="AS17" s="1950"/>
      <c r="AT17" s="1950"/>
      <c r="AU17" s="1950"/>
      <c r="AV17" s="1950"/>
      <c r="AW17" s="1950"/>
      <c r="AX17" s="1950"/>
      <c r="AY17" s="1950"/>
      <c r="AZ17" s="1950"/>
      <c r="BA17" s="1950"/>
      <c r="BB17" s="1950"/>
      <c r="BC17" s="1950"/>
      <c r="BE17" s="1415"/>
      <c r="BF17" s="1415" t="str">
        <f>IF(T17="","",T17)</f>
        <v>Добавить централизованную систему для дифференциации</v>
      </c>
      <c r="BG17" s="1415"/>
      <c r="BH17" s="1415"/>
      <c r="BI17" s="1144">
        <v>0</v>
      </c>
    </row>
    <row s="34658" customFormat="1" customHeight="1" ht="14.25" hidden="1">
      <c r="A18" s="1969"/>
      <c r="B18" s="1969"/>
      <c r="C18" s="1969"/>
      <c r="D18" s="1969"/>
      <c r="E18" s="2884"/>
      <c r="F18" s="1969"/>
      <c r="G18" s="1969"/>
      <c r="H18" s="1969"/>
      <c r="I18" s="1969"/>
      <c r="J18" s="1969"/>
      <c r="K18" s="1969"/>
      <c r="L18" s="1972"/>
      <c r="M18" s="1947"/>
      <c r="N18" s="1947"/>
      <c r="O18" s="1144"/>
      <c r="P18" s="1006"/>
      <c r="Q18" s="1970"/>
      <c r="R18" s="1006"/>
      <c r="S18" s="1948"/>
      <c r="T18" s="1951" t="s">
        <v>434</v>
      </c>
      <c r="U18" s="1950"/>
      <c r="V18" s="1950"/>
      <c r="W18" s="1950"/>
      <c r="X18" s="1950"/>
      <c r="Y18" s="1950"/>
      <c r="Z18" s="1950"/>
      <c r="AA18" s="1950"/>
      <c r="AB18" s="1950"/>
      <c r="AC18" s="1950"/>
      <c r="AD18" s="1950"/>
      <c r="AE18" s="1950"/>
      <c r="AF18" s="1950"/>
      <c r="AG18" s="1950"/>
      <c r="AH18" s="1950"/>
      <c r="AI18" s="1950"/>
      <c r="AJ18" s="1950"/>
      <c r="AK18" s="1950"/>
      <c r="AL18" s="1950"/>
      <c r="AM18" s="1950"/>
      <c r="AN18" s="1950"/>
      <c r="AO18" s="1950"/>
      <c r="AP18" s="1950"/>
      <c r="AQ18" s="1950"/>
      <c r="AR18" s="1950"/>
      <c r="AS18" s="1950"/>
      <c r="AT18" s="1950"/>
      <c r="AU18" s="1950"/>
      <c r="AV18" s="1950"/>
      <c r="AW18" s="1950"/>
      <c r="AX18" s="1950"/>
      <c r="AY18" s="1950"/>
      <c r="AZ18" s="1950"/>
      <c r="BA18" s="1950"/>
      <c r="BB18" s="1950"/>
      <c r="BC18" s="1950"/>
      <c r="BE18" s="1126"/>
      <c r="BF18" s="1126" t="str">
        <f>IF(T18="","",T18)</f>
        <v>Добавить территорию для дифференциации</v>
      </c>
      <c r="BG18" s="1126"/>
      <c r="BH18" s="1126"/>
      <c r="BI18" s="1137">
        <v>0</v>
      </c>
    </row>
    <row customHeight="1" ht="14.25" hidden="1">
      <c r="AC19" s="953"/>
      <c r="BA19" s="953"/>
      <c r="BI19" s="1781">
        <v>0</v>
      </c>
    </row>
    <row customHeight="1" ht="14.25" hidden="1">
      <c r="AD20" s="1950" t="s">
        <v>19</v>
      </c>
      <c r="AE20" s="2127"/>
      <c r="AF20" s="1174">
        <v>1</v>
      </c>
      <c r="AG20" s="2128"/>
      <c r="AH20" s="1950" t="s">
        <v>19</v>
      </c>
      <c r="AI20" s="2127"/>
      <c r="AJ20" s="1174">
        <v>1</v>
      </c>
      <c r="AK20" s="2128"/>
      <c r="AL20" s="1950" t="s">
        <v>19</v>
      </c>
      <c r="AM20" s="2129"/>
      <c r="AN20" s="1174">
        <v>1</v>
      </c>
      <c r="AO20" s="2130"/>
      <c r="AP20" s="1950" t="s">
        <v>19</v>
      </c>
      <c r="AQ20" s="2129"/>
      <c r="AR20" s="1174">
        <v>1</v>
      </c>
      <c r="AS20" s="2130"/>
      <c r="AT20" s="951"/>
      <c r="AU20" s="1010"/>
      <c r="AV20" s="951"/>
      <c r="AW20" s="1010"/>
      <c r="AX20" s="2362"/>
      <c r="AY20" s="2111" t="s">
        <v>66</v>
      </c>
      <c r="AZ20" s="2362"/>
      <c r="BA20" s="2111" t="s">
        <v>66</v>
      </c>
      <c r="BI20" s="1781">
        <v>0</v>
      </c>
    </row>
    <row customHeight="1" ht="14.25" hidden="1">
      <c r="BD21" s="1122"/>
      <c r="BE21" s="1122"/>
      <c r="BF21" s="1122"/>
      <c r="BG21" s="1122"/>
      <c r="BH21" s="1122"/>
      <c r="BI21" s="1781">
        <v>0</v>
      </c>
    </row>
    <row customHeight="1" ht="14.25" hidden="1">
      <c r="O22" s="1993" t="s">
        <v>435</v>
      </c>
      <c r="Z22" s="1971"/>
      <c r="AB22" s="1971"/>
      <c r="AC22" s="953"/>
      <c r="AX22" s="1971"/>
      <c r="AZ22" s="1971"/>
      <c r="BA22" s="953"/>
      <c r="BD22" s="1122"/>
      <c r="BE22" s="1122"/>
      <c r="BF22" s="1122"/>
      <c r="BG22" s="1122"/>
      <c r="BH22" s="1122"/>
      <c r="BI22" s="1781">
        <v>0</v>
      </c>
    </row>
    <row customHeight="1" ht="14.25" hidden="1">
      <c r="AC23" s="953"/>
      <c r="BA23" s="953"/>
      <c r="BD23" s="1122"/>
      <c r="BE23" s="1122"/>
      <c r="BF23" s="1122"/>
      <c r="BG23" s="1122"/>
      <c r="BH23" s="1122"/>
      <c r="BI23" s="1781">
        <v>0</v>
      </c>
    </row>
    <row s="35596" customFormat="1" customHeight="1" ht="14.25" hidden="1">
      <c r="M24" s="2134"/>
      <c r="N24" s="2134"/>
      <c r="O24" s="2135" t="s">
        <v>436</v>
      </c>
      <c r="P24" s="2134"/>
      <c r="Q24" s="2136"/>
      <c r="R24" s="2136"/>
      <c r="AA24" s="2133" t="s">
        <v>438</v>
      </c>
      <c r="AC24" s="2133" t="s">
        <v>439</v>
      </c>
      <c r="AD24" s="2133" t="s">
        <v>487</v>
      </c>
      <c r="AH24" s="2133" t="s">
        <v>487</v>
      </c>
      <c r="AK24" s="2133" t="s">
        <v>524</v>
      </c>
      <c r="AL24" s="2133" t="s">
        <v>487</v>
      </c>
      <c r="AP24" s="2133" t="s">
        <v>487</v>
      </c>
      <c r="AY24" s="2133" t="s">
        <v>438</v>
      </c>
      <c r="BA24" s="2133" t="s">
        <v>439</v>
      </c>
      <c r="BD24" s="2137"/>
      <c r="BE24" s="2137"/>
      <c r="BF24" s="2137"/>
      <c r="BG24" s="2137"/>
      <c r="BH24" s="2137"/>
      <c r="BI24" s="2133">
        <v>0</v>
      </c>
    </row>
    <row customHeight="1" ht="14.25" hidden="1">
      <c r="O25" s="1990"/>
      <c r="BD25" s="1122"/>
      <c r="BE25" s="1122"/>
      <c r="BF25" s="1122"/>
      <c r="BG25" s="1122"/>
      <c r="BH25" s="1122"/>
      <c r="BI25" s="1781">
        <v>0</v>
      </c>
    </row>
    <row customHeight="1" ht="14.25" hidden="1">
      <c r="O26" s="1990"/>
      <c r="BD26" s="1122"/>
      <c r="BE26" s="1122"/>
      <c r="BF26" s="1122"/>
      <c r="BG26" s="1122"/>
      <c r="BH26" s="1122"/>
      <c r="BI26" s="1781">
        <v>0</v>
      </c>
    </row>
    <row customHeight="1" ht="14.699999999999998">
      <c r="Q27" s="917"/>
      <c r="R27" s="1002"/>
      <c r="S27" s="1901"/>
      <c r="T27" s="989"/>
      <c r="U27" s="989"/>
      <c r="V27" s="1135"/>
      <c r="W27" s="1135"/>
      <c r="X27" s="1135"/>
      <c r="Y27" s="1135"/>
      <c r="Z27" s="1135"/>
      <c r="AA27" s="1135"/>
      <c r="AB27" s="1135"/>
      <c r="AC27" s="1135"/>
      <c r="AD27" s="1135"/>
      <c r="AE27" s="1135"/>
      <c r="AF27" s="1135"/>
      <c r="AG27" s="1135"/>
      <c r="AH27" s="1135"/>
      <c r="AI27" s="1135"/>
      <c r="AJ27" s="1135"/>
      <c r="AK27" s="1135"/>
      <c r="AL27" s="1135"/>
      <c r="AM27" s="1135"/>
      <c r="AN27" s="1135"/>
      <c r="AO27" s="1135"/>
      <c r="AP27" s="1135"/>
      <c r="AQ27" s="1135"/>
      <c r="AR27" s="1135"/>
      <c r="AS27" s="1135"/>
      <c r="AT27" s="1135"/>
      <c r="AU27" s="1135"/>
      <c r="AV27" s="1135"/>
      <c r="AW27" s="1135"/>
      <c r="AX27" s="1135"/>
      <c r="AY27" s="1135"/>
      <c r="AZ27" s="1135"/>
      <c r="BA27" s="1135"/>
      <c r="BI27" s="1781">
        <v>14</v>
      </c>
    </row>
    <row customHeight="1" ht="14.699999999999998">
      <c r="Q28" s="917"/>
      <c r="R28" s="1002"/>
      <c r="S28" s="28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2874"/>
      <c r="AT28" s="2874"/>
      <c r="AU28" s="2874"/>
      <c r="AV28" s="2874"/>
      <c r="AW28" s="2874"/>
      <c r="AX28" s="2874"/>
      <c r="AY28" s="2874"/>
      <c r="AZ28" s="2874"/>
      <c r="BA28" s="1869"/>
      <c r="BI28" s="1781">
        <v>14</v>
      </c>
    </row>
    <row customHeight="1" ht="14.699999999999998">
      <c r="Q29" s="917"/>
      <c r="R29" s="1002"/>
      <c r="S29" s="2875" t="str">
        <f>IF(org=0,"Не определено",org)</f>
        <v>АО "ДГК"</v>
      </c>
      <c r="T29" s="2875"/>
      <c r="U29" s="2875"/>
      <c r="V29" s="2875"/>
      <c r="W29" s="2875"/>
      <c r="X29" s="2875"/>
      <c r="Y29" s="2875"/>
      <c r="Z29" s="2875"/>
      <c r="AA29" s="2875"/>
      <c r="AB29" s="2875"/>
      <c r="AC29" s="2875"/>
      <c r="AD29" s="2875"/>
      <c r="AE29" s="2875"/>
      <c r="AF29" s="2875"/>
      <c r="AG29" s="2875"/>
      <c r="AH29" s="2875"/>
      <c r="AI29" s="2875"/>
      <c r="AJ29" s="2875"/>
      <c r="AK29" s="2875"/>
      <c r="AL29" s="2875"/>
      <c r="AM29" s="2875"/>
      <c r="AN29" s="2875"/>
      <c r="AO29" s="2875"/>
      <c r="AP29" s="2875"/>
      <c r="AQ29" s="2875"/>
      <c r="AR29" s="2875"/>
      <c r="AS29" s="2875"/>
      <c r="AT29" s="2875"/>
      <c r="AU29" s="2875"/>
      <c r="AV29" s="2875"/>
      <c r="AW29" s="2875"/>
      <c r="AX29" s="2875"/>
      <c r="AY29" s="2875"/>
      <c r="AZ29" s="2875"/>
      <c r="BA29" s="1869"/>
      <c r="BI29" s="1781">
        <v>14</v>
      </c>
    </row>
    <row customHeight="1" ht="14.25" hidden="1">
      <c r="Q30" s="917"/>
      <c r="R30" s="1002"/>
      <c r="S30" s="1901"/>
      <c r="T30" s="989"/>
      <c r="U30" s="989"/>
      <c r="V30" s="948"/>
      <c r="W30" s="948"/>
      <c r="X30" s="948"/>
      <c r="Y30" s="948"/>
      <c r="Z30" s="948"/>
      <c r="AA30" s="948"/>
      <c r="AB30" s="948"/>
      <c r="AC30" s="948"/>
      <c r="AD30" s="948"/>
      <c r="AE30" s="948"/>
      <c r="AF30" s="948"/>
      <c r="AG30" s="948"/>
      <c r="AH30" s="948"/>
      <c r="AI30" s="948"/>
      <c r="AJ30" s="948"/>
      <c r="AK30" s="948"/>
      <c r="AL30" s="948"/>
      <c r="AM30" s="948"/>
      <c r="AN30" s="948"/>
      <c r="AO30" s="948"/>
      <c r="AP30" s="948"/>
      <c r="AQ30" s="948"/>
      <c r="AR30" s="948"/>
      <c r="AS30" s="948"/>
      <c r="AT30" s="948"/>
      <c r="AU30" s="948"/>
      <c r="AV30" s="948"/>
      <c r="AW30" s="948"/>
      <c r="AX30" s="948"/>
      <c r="AY30" s="948"/>
      <c r="AZ30" s="948"/>
      <c r="BA30" s="948"/>
      <c r="BB30" s="1135"/>
      <c r="BI30" s="1781">
        <v>0</v>
      </c>
    </row>
    <row s="34794" customFormat="1" customHeight="1" ht="25.5" hidden="1">
      <c r="A31" s="1994"/>
      <c r="B31" s="1994"/>
      <c r="C31" s="1994"/>
      <c r="D31" s="1994"/>
      <c r="E31" s="1994"/>
      <c r="F31" s="1994"/>
      <c r="G31" s="1994"/>
      <c r="H31" s="1994"/>
      <c r="I31" s="1994"/>
      <c r="J31" s="1994"/>
      <c r="K31" s="1994"/>
      <c r="L31" s="1995"/>
      <c r="M31" s="1994"/>
      <c r="N31" s="1994"/>
      <c r="O31" s="1994"/>
      <c r="P31" s="1994"/>
      <c r="Q31" s="1994"/>
      <c r="S31" s="2876" t="s">
        <v>42</v>
      </c>
      <c r="T31" s="2876"/>
      <c r="U31" s="1998"/>
      <c r="V31" s="2877" t="str">
        <f>IF(TITLE_NAME_OR_PR_CHANGE="",IF(TITLE_NAME_OR_PR="","",TITLE_NAME_OR_PR),TITLE_NAME_OR_PR_CHANGE)</f>
        <v/>
      </c>
      <c r="W31" s="2877"/>
      <c r="X31" s="2877"/>
      <c r="Y31" s="2877"/>
      <c r="Z31" s="2877"/>
      <c r="AA31" s="2877"/>
      <c r="AB31" s="2877"/>
      <c r="AC31" s="952"/>
      <c r="AD31" s="2877" t="str">
        <f>IF(TITLE_NAME_OR_PR_CHANGE="",IF(TITLE_NAME_OR_PR="","",TITLE_NAME_OR_PR),TITLE_NAME_OR_PR_CHANGE)</f>
        <v/>
      </c>
      <c r="AE31" s="2877"/>
      <c r="AF31" s="2877"/>
      <c r="AG31" s="2877"/>
      <c r="AH31" s="2877"/>
      <c r="AI31" s="2877"/>
      <c r="AJ31" s="2877"/>
      <c r="AK31" s="2877"/>
      <c r="AL31" s="2877"/>
      <c r="AM31" s="2877"/>
      <c r="AN31" s="2877"/>
      <c r="AO31" s="2877"/>
      <c r="AP31" s="2877"/>
      <c r="AQ31" s="2877"/>
      <c r="AR31" s="2877"/>
      <c r="AS31" s="2877"/>
      <c r="AT31" s="2877"/>
      <c r="AU31" s="2877"/>
      <c r="AV31" s="2877"/>
      <c r="AW31" s="2877"/>
      <c r="AX31" s="2877"/>
      <c r="AY31" s="2877"/>
      <c r="AZ31" s="2877"/>
      <c r="BA31" s="952"/>
      <c r="BB31" s="952"/>
      <c r="BC31" s="906"/>
      <c r="BD31" s="994"/>
      <c r="BE31" s="994"/>
      <c r="BF31" s="994"/>
      <c r="BG31" s="994"/>
      <c r="BH31" s="994"/>
      <c r="BI31" s="1044">
        <v>0</v>
      </c>
    </row>
    <row s="34794" customFormat="1" customHeight="1" ht="18.75" hidden="1">
      <c r="A32" s="1994"/>
      <c r="B32" s="1994"/>
      <c r="C32" s="1994"/>
      <c r="D32" s="1994"/>
      <c r="E32" s="1994"/>
      <c r="F32" s="1994"/>
      <c r="G32" s="1994"/>
      <c r="H32" s="1994"/>
      <c r="I32" s="1994"/>
      <c r="J32" s="1994"/>
      <c r="K32" s="1994"/>
      <c r="L32" s="1995"/>
      <c r="M32" s="1994"/>
      <c r="N32" s="1994"/>
      <c r="O32" s="1994"/>
      <c r="P32" s="1994"/>
      <c r="Q32" s="1994"/>
      <c r="S32" s="2876" t="s">
        <v>441</v>
      </c>
      <c r="T32" s="2876"/>
      <c r="U32" s="1998"/>
      <c r="V32" s="2890" t="str">
        <f>IF(TITLE_DATE_PR_CHANGE="",IF(TITLE_DATE_PR="","",TITLE_DATE_PR),TITLE_DATE_PR_CHANGE)</f>
        <v/>
      </c>
      <c r="W32" s="2890"/>
      <c r="X32" s="2890"/>
      <c r="Y32" s="2890"/>
      <c r="Z32" s="2890"/>
      <c r="AA32" s="2890"/>
      <c r="AB32" s="2890"/>
      <c r="AC32" s="952"/>
      <c r="AD32" s="2890" t="str">
        <f>IF(TITLE_DATE_PR_CHANGE="",IF(TITLE_DATE_PR="","",TITLE_DATE_PR),TITLE_DATE_PR_CHANGE)</f>
        <v/>
      </c>
      <c r="AE32" s="2890"/>
      <c r="AF32" s="2890"/>
      <c r="AG32" s="2890"/>
      <c r="AH32" s="2890"/>
      <c r="AI32" s="2890"/>
      <c r="AJ32" s="2890"/>
      <c r="AK32" s="2890"/>
      <c r="AL32" s="2890"/>
      <c r="AM32" s="2890"/>
      <c r="AN32" s="2890"/>
      <c r="AO32" s="2890"/>
      <c r="AP32" s="2890"/>
      <c r="AQ32" s="2890"/>
      <c r="AR32" s="2890"/>
      <c r="AS32" s="2890"/>
      <c r="AT32" s="2890"/>
      <c r="AU32" s="2890"/>
      <c r="AV32" s="2890"/>
      <c r="AW32" s="2890"/>
      <c r="AX32" s="2890"/>
      <c r="AY32" s="2890"/>
      <c r="AZ32" s="2890"/>
      <c r="BA32" s="952"/>
      <c r="BB32" s="952"/>
      <c r="BC32" s="906"/>
      <c r="BD32" s="994"/>
      <c r="BE32" s="994"/>
      <c r="BF32" s="994"/>
      <c r="BG32" s="994"/>
      <c r="BH32" s="994"/>
      <c r="BI32" s="1044">
        <v>0</v>
      </c>
    </row>
    <row s="34794" customFormat="1" customHeight="1" ht="18.75" hidden="1">
      <c r="A33" s="1994"/>
      <c r="B33" s="1994"/>
      <c r="C33" s="1994"/>
      <c r="D33" s="1994"/>
      <c r="E33" s="1994"/>
      <c r="F33" s="1994"/>
      <c r="G33" s="1994"/>
      <c r="H33" s="1994"/>
      <c r="I33" s="1994"/>
      <c r="J33" s="1994"/>
      <c r="K33" s="1994"/>
      <c r="L33" s="1995"/>
      <c r="M33" s="1994"/>
      <c r="N33" s="1994"/>
      <c r="O33" s="1994"/>
      <c r="P33" s="1994"/>
      <c r="Q33" s="1994"/>
      <c r="S33" s="2876" t="s">
        <v>442</v>
      </c>
      <c r="T33" s="2876"/>
      <c r="U33" s="1998"/>
      <c r="V33" s="2877" t="str">
        <f>IF(TITLE_NUMBER_PR_CHANGE="",IF(TITLE_NUMBER_PR="","",TITLE_NUMBER_PR),TITLE_NUMBER_PR_CHANGE)</f>
        <v/>
      </c>
      <c r="W33" s="2877"/>
      <c r="X33" s="2877"/>
      <c r="Y33" s="2877"/>
      <c r="Z33" s="2877"/>
      <c r="AA33" s="2877"/>
      <c r="AB33" s="2877"/>
      <c r="AC33" s="952"/>
      <c r="AD33" s="2877" t="str">
        <f>IF(TITLE_NUMBER_PR_CHANGE="",IF(TITLE_NUMBER_PR="","",TITLE_NUMBER_PR),TITLE_NUMBER_PR_CHANGE)</f>
        <v/>
      </c>
      <c r="AE33" s="2877"/>
      <c r="AF33" s="2877"/>
      <c r="AG33" s="2877"/>
      <c r="AH33" s="2877"/>
      <c r="AI33" s="2877"/>
      <c r="AJ33" s="2877"/>
      <c r="AK33" s="2877"/>
      <c r="AL33" s="2877"/>
      <c r="AM33" s="2877"/>
      <c r="AN33" s="2877"/>
      <c r="AO33" s="2877"/>
      <c r="AP33" s="2877"/>
      <c r="AQ33" s="2877"/>
      <c r="AR33" s="2877"/>
      <c r="AS33" s="2877"/>
      <c r="AT33" s="2877"/>
      <c r="AU33" s="2877"/>
      <c r="AV33" s="2877"/>
      <c r="AW33" s="2877"/>
      <c r="AX33" s="2877"/>
      <c r="AY33" s="2877"/>
      <c r="AZ33" s="2877"/>
      <c r="BA33" s="952"/>
      <c r="BB33" s="952"/>
      <c r="BC33" s="906"/>
      <c r="BD33" s="994"/>
      <c r="BE33" s="994"/>
      <c r="BF33" s="994"/>
      <c r="BG33" s="994"/>
      <c r="BH33" s="994"/>
      <c r="BI33" s="1044">
        <v>0</v>
      </c>
    </row>
    <row s="34794" customFormat="1" customHeight="1" ht="18.75" hidden="1">
      <c r="A34" s="1994"/>
      <c r="B34" s="1994"/>
      <c r="C34" s="1994"/>
      <c r="D34" s="1994"/>
      <c r="E34" s="1994"/>
      <c r="F34" s="1994"/>
      <c r="G34" s="1994"/>
      <c r="H34" s="1994"/>
      <c r="I34" s="1994"/>
      <c r="J34" s="1994"/>
      <c r="K34" s="1994"/>
      <c r="L34" s="1995"/>
      <c r="M34" s="1994"/>
      <c r="N34" s="1994"/>
      <c r="O34" s="1994"/>
      <c r="P34" s="1994"/>
      <c r="Q34" s="1994"/>
      <c r="S34" s="2876" t="s">
        <v>43</v>
      </c>
      <c r="T34" s="2876"/>
      <c r="U34" s="1998"/>
      <c r="V34" s="2877" t="str">
        <f>IF(TITLE_IST_PUB_CHANGE="",IF(TITLE_IST_PUB="","",TITLE_IST_PUB),TITLE_IST_PUB_CHANGE)</f>
        <v/>
      </c>
      <c r="W34" s="2877"/>
      <c r="X34" s="2877"/>
      <c r="Y34" s="2877"/>
      <c r="Z34" s="2877"/>
      <c r="AA34" s="2877"/>
      <c r="AB34" s="2877"/>
      <c r="AC34" s="952"/>
      <c r="AD34" s="2877" t="str">
        <f>IF(TITLE_IST_PUB_CHANGE="",IF(TITLE_IST_PUB="","",TITLE_IST_PUB),TITLE_IST_PUB_CHANGE)</f>
        <v/>
      </c>
      <c r="AE34" s="2877"/>
      <c r="AF34" s="2877"/>
      <c r="AG34" s="2877"/>
      <c r="AH34" s="2877"/>
      <c r="AI34" s="2877"/>
      <c r="AJ34" s="2877"/>
      <c r="AK34" s="2877"/>
      <c r="AL34" s="2877"/>
      <c r="AM34" s="2877"/>
      <c r="AN34" s="2877"/>
      <c r="AO34" s="2877"/>
      <c r="AP34" s="2877"/>
      <c r="AQ34" s="2877"/>
      <c r="AR34" s="2877"/>
      <c r="AS34" s="2877"/>
      <c r="AT34" s="2877"/>
      <c r="AU34" s="2877"/>
      <c r="AV34" s="2877"/>
      <c r="AW34" s="2877"/>
      <c r="AX34" s="2877"/>
      <c r="AY34" s="2877"/>
      <c r="AZ34" s="2877"/>
      <c r="BA34" s="952"/>
      <c r="BB34" s="952"/>
      <c r="BC34" s="906"/>
      <c r="BD34" s="994"/>
      <c r="BE34" s="994"/>
      <c r="BF34" s="994"/>
      <c r="BG34" s="994"/>
      <c r="BH34" s="994"/>
      <c r="BI34" s="1044">
        <v>0</v>
      </c>
    </row>
    <row customHeight="1" ht="14.25" hidden="1">
      <c r="Q35" s="917"/>
      <c r="R35" s="1002"/>
      <c r="S35" s="1901"/>
      <c r="T35" s="989"/>
      <c r="U35" s="989"/>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c r="AU35" s="948"/>
      <c r="AV35" s="948"/>
      <c r="AW35" s="948"/>
      <c r="AX35" s="948"/>
      <c r="AY35" s="948"/>
      <c r="AZ35" s="948"/>
      <c r="BA35" s="948"/>
      <c r="BB35" s="1135"/>
      <c r="BI35" s="1781">
        <v>0</v>
      </c>
    </row>
    <row s="34794" customFormat="1" customHeight="1" ht="18.75" hidden="1">
      <c r="A36" s="1994"/>
      <c r="B36" s="1994"/>
      <c r="C36" s="1994"/>
      <c r="D36" s="1994"/>
      <c r="E36" s="1994"/>
      <c r="F36" s="1994"/>
      <c r="G36" s="1994"/>
      <c r="H36" s="1994"/>
      <c r="I36" s="1994"/>
      <c r="J36" s="1994"/>
      <c r="K36" s="1994"/>
      <c r="L36" s="1995"/>
      <c r="M36" s="1994"/>
      <c r="N36" s="1994"/>
      <c r="O36" s="1994"/>
      <c r="P36" s="1994"/>
      <c r="Q36" s="1994"/>
      <c r="S36" s="2876" t="s">
        <v>441</v>
      </c>
      <c r="T36" s="2876"/>
      <c r="U36" s="1998"/>
      <c r="V36" s="2890" t="str">
        <f>IF(TITLE_DATE_PR_CHANGE="",IF(TITLE_DATE_PR="","",TITLE_DATE_PR),TITLE_DATE_PR_CHANGE)</f>
        <v/>
      </c>
      <c r="W36" s="2890"/>
      <c r="X36" s="2890"/>
      <c r="Y36" s="2890"/>
      <c r="Z36" s="2890"/>
      <c r="AA36" s="2890"/>
      <c r="AB36" s="2890"/>
      <c r="AC36" s="952"/>
      <c r="AD36" s="2890" t="str">
        <f>IF(TITLE_DATE_PR_CHANGE="",IF(TITLE_DATE_PR="","",TITLE_DATE_PR),TITLE_DATE_PR_CHANGE)</f>
        <v/>
      </c>
      <c r="AE36" s="2890"/>
      <c r="AF36" s="2890"/>
      <c r="AG36" s="2890"/>
      <c r="AH36" s="2890"/>
      <c r="AI36" s="2890"/>
      <c r="AJ36" s="2890"/>
      <c r="AK36" s="2890"/>
      <c r="AL36" s="2890"/>
      <c r="AM36" s="2890"/>
      <c r="AN36" s="2890"/>
      <c r="AO36" s="2890"/>
      <c r="AP36" s="2890"/>
      <c r="AQ36" s="2890"/>
      <c r="AR36" s="2890"/>
      <c r="AS36" s="2890"/>
      <c r="AT36" s="2890"/>
      <c r="AU36" s="2890"/>
      <c r="AV36" s="2890"/>
      <c r="AW36" s="2890"/>
      <c r="AX36" s="2890"/>
      <c r="AY36" s="2890"/>
      <c r="AZ36" s="2890"/>
      <c r="BA36" s="952"/>
      <c r="BB36" s="952"/>
      <c r="BC36" s="906"/>
      <c r="BD36" s="994"/>
      <c r="BE36" s="994"/>
      <c r="BF36" s="994"/>
      <c r="BG36" s="994"/>
      <c r="BH36" s="994"/>
      <c r="BI36" s="1044">
        <v>0</v>
      </c>
    </row>
    <row s="34794" customFormat="1" customHeight="1" ht="18.75" hidden="1">
      <c r="A37" s="1994"/>
      <c r="B37" s="1994"/>
      <c r="C37" s="1994"/>
      <c r="D37" s="1994"/>
      <c r="E37" s="1994"/>
      <c r="F37" s="1994"/>
      <c r="G37" s="1994"/>
      <c r="H37" s="1994"/>
      <c r="I37" s="1994"/>
      <c r="J37" s="1994"/>
      <c r="K37" s="1994"/>
      <c r="L37" s="1995"/>
      <c r="M37" s="1994"/>
      <c r="N37" s="1994"/>
      <c r="O37" s="1994"/>
      <c r="P37" s="1994"/>
      <c r="Q37" s="1994"/>
      <c r="S37" s="2876" t="s">
        <v>442</v>
      </c>
      <c r="T37" s="2876"/>
      <c r="U37" s="1998"/>
      <c r="V37" s="2877" t="str">
        <f>IF(TITLE_NUMBER_PR_CHANGE="",IF(TITLE_NUMBER_PR="","",TITLE_NUMBER_PR),TITLE_NUMBER_PR_CHANGE)</f>
        <v/>
      </c>
      <c r="W37" s="2877"/>
      <c r="X37" s="2877"/>
      <c r="Y37" s="2877"/>
      <c r="Z37" s="2877"/>
      <c r="AA37" s="2877"/>
      <c r="AB37" s="2877"/>
      <c r="AC37" s="952"/>
      <c r="AD37" s="2877" t="str">
        <f>IF(TITLE_NUMBER_PR_CHANGE="",IF(TITLE_NUMBER_PR="","",TITLE_NUMBER_PR),TITLE_NUMBER_PR_CHANGE)</f>
        <v/>
      </c>
      <c r="AE37" s="2877"/>
      <c r="AF37" s="2877"/>
      <c r="AG37" s="2877"/>
      <c r="AH37" s="2877"/>
      <c r="AI37" s="2877"/>
      <c r="AJ37" s="2877"/>
      <c r="AK37" s="2877"/>
      <c r="AL37" s="2877"/>
      <c r="AM37" s="2877"/>
      <c r="AN37" s="2877"/>
      <c r="AO37" s="2877"/>
      <c r="AP37" s="2877"/>
      <c r="AQ37" s="2877"/>
      <c r="AR37" s="2877"/>
      <c r="AS37" s="2877"/>
      <c r="AT37" s="2877"/>
      <c r="AU37" s="2877"/>
      <c r="AV37" s="2877"/>
      <c r="AW37" s="2877"/>
      <c r="AX37" s="2877"/>
      <c r="AY37" s="2877"/>
      <c r="AZ37" s="2877"/>
      <c r="BA37" s="952"/>
      <c r="BB37" s="952"/>
      <c r="BC37" s="906"/>
      <c r="BD37" s="994"/>
      <c r="BE37" s="994"/>
      <c r="BF37" s="994"/>
      <c r="BG37" s="994"/>
      <c r="BH37" s="994"/>
      <c r="BI37" s="1044">
        <v>0</v>
      </c>
    </row>
    <row s="34794" customFormat="1" customHeight="1" ht="0">
      <c r="A38" s="1994"/>
      <c r="B38" s="1994"/>
      <c r="C38" s="1994"/>
      <c r="D38" s="1994"/>
      <c r="E38" s="1994"/>
      <c r="F38" s="1994"/>
      <c r="G38" s="1994"/>
      <c r="H38" s="1994"/>
      <c r="I38" s="1994"/>
      <c r="J38" s="1994"/>
      <c r="K38" s="1994"/>
      <c r="L38" s="1995"/>
      <c r="M38" s="1994"/>
      <c r="N38" s="1994"/>
      <c r="O38" s="1994"/>
      <c r="P38" s="1994"/>
      <c r="Q38" s="1994"/>
      <c r="S38" s="949"/>
      <c r="T38" s="949"/>
      <c r="U38" s="2114"/>
      <c r="V38" s="952"/>
      <c r="W38" s="952"/>
      <c r="X38" s="952"/>
      <c r="Y38" s="952"/>
      <c r="Z38" s="952"/>
      <c r="AA38" s="952"/>
      <c r="AB38" s="952"/>
      <c r="AC38" s="904" t="s">
        <v>445</v>
      </c>
      <c r="AD38" s="952"/>
      <c r="AE38" s="952"/>
      <c r="AF38" s="952"/>
      <c r="AG38" s="952"/>
      <c r="AH38" s="952"/>
      <c r="AI38" s="952"/>
      <c r="AJ38" s="952"/>
      <c r="AK38" s="952"/>
      <c r="AL38" s="952"/>
      <c r="AM38" s="952"/>
      <c r="AN38" s="952"/>
      <c r="AO38" s="952"/>
      <c r="AP38" s="952"/>
      <c r="AQ38" s="952"/>
      <c r="AR38" s="952"/>
      <c r="AS38" s="952"/>
      <c r="AT38" s="952"/>
      <c r="AU38" s="952"/>
      <c r="AV38" s="952"/>
      <c r="AW38" s="952"/>
      <c r="AX38" s="952"/>
      <c r="AY38" s="952"/>
      <c r="AZ38" s="952"/>
      <c r="BA38" s="904" t="s">
        <v>445</v>
      </c>
      <c r="BD38" s="994"/>
      <c r="BE38" s="994"/>
      <c r="BF38" s="994"/>
      <c r="BG38" s="994"/>
      <c r="BH38" s="994"/>
      <c r="BI38" s="1044">
        <v>0</v>
      </c>
    </row>
    <row customHeight="1" ht="14.699999999999998">
      <c r="Q39" s="917"/>
      <c r="R39" s="1002"/>
      <c r="S39" s="1901"/>
      <c r="T39" s="989"/>
      <c r="U39" s="1870"/>
      <c r="V39" s="2878"/>
      <c r="W39" s="2878"/>
      <c r="X39" s="2878"/>
      <c r="Y39" s="2878"/>
      <c r="Z39" s="2878"/>
      <c r="AA39" s="2878"/>
      <c r="AB39" s="2878"/>
      <c r="AC39" s="2878"/>
      <c r="AD39" s="2878"/>
      <c r="AE39" s="2878"/>
      <c r="AF39" s="2878"/>
      <c r="AG39" s="2878"/>
      <c r="AH39" s="2878"/>
      <c r="AI39" s="2878"/>
      <c r="AJ39" s="2878"/>
      <c r="AK39" s="2878"/>
      <c r="AL39" s="2878"/>
      <c r="AM39" s="2878"/>
      <c r="AN39" s="2878"/>
      <c r="AO39" s="2878"/>
      <c r="AP39" s="2878"/>
      <c r="AQ39" s="2878"/>
      <c r="AR39" s="2878"/>
      <c r="AS39" s="2878"/>
      <c r="AT39" s="2878"/>
      <c r="AU39" s="2878"/>
      <c r="AV39" s="2878"/>
      <c r="AW39" s="2878"/>
      <c r="AX39" s="2878"/>
      <c r="AY39" s="2878"/>
      <c r="AZ39" s="2878"/>
      <c r="BA39" s="2878"/>
      <c r="BI39" s="1781">
        <v>14</v>
      </c>
    </row>
    <row customHeight="1" ht="14.699999999999998">
      <c r="Q40" s="917"/>
      <c r="R40" s="1002"/>
      <c r="S40" s="2753" t="s">
        <v>318</v>
      </c>
      <c r="T40" s="2753"/>
      <c r="U40" s="2753"/>
      <c r="V40" s="2753"/>
      <c r="W40" s="2753"/>
      <c r="X40" s="2753"/>
      <c r="Y40" s="2753"/>
      <c r="Z40" s="2753"/>
      <c r="AA40" s="2753"/>
      <c r="AB40" s="2753"/>
      <c r="AC40" s="2753"/>
      <c r="AD40" s="2753"/>
      <c r="AE40" s="2753"/>
      <c r="AF40" s="2753"/>
      <c r="AG40" s="2753"/>
      <c r="AH40" s="2753"/>
      <c r="AI40" s="2753"/>
      <c r="AJ40" s="2753"/>
      <c r="AK40" s="2753"/>
      <c r="AL40" s="2753"/>
      <c r="AM40" s="2753"/>
      <c r="AN40" s="2753"/>
      <c r="AO40" s="2753"/>
      <c r="AP40" s="2753"/>
      <c r="AQ40" s="2753"/>
      <c r="AR40" s="2753"/>
      <c r="AS40" s="2753"/>
      <c r="AT40" s="2753"/>
      <c r="AU40" s="2753"/>
      <c r="AV40" s="2753"/>
      <c r="AW40" s="2753"/>
      <c r="AX40" s="2753"/>
      <c r="AY40" s="2753"/>
      <c r="AZ40" s="2753"/>
      <c r="BA40" s="2753"/>
      <c r="BB40" s="2753"/>
      <c r="BC40" s="2753" t="s">
        <v>319</v>
      </c>
      <c r="BI40" s="1781">
        <v>14</v>
      </c>
    </row>
    <row customHeight="1" ht="14.699999999999998">
      <c r="Q41" s="917"/>
      <c r="R41" s="1002"/>
      <c r="S41" s="2899" t="s">
        <v>88</v>
      </c>
      <c r="T41" s="2835" t="s">
        <v>525</v>
      </c>
      <c r="U41" s="927"/>
      <c r="V41" s="2900" t="s">
        <v>447</v>
      </c>
      <c r="W41" s="2901"/>
      <c r="X41" s="2901"/>
      <c r="Y41" s="2901"/>
      <c r="Z41" s="2901"/>
      <c r="AA41" s="2901"/>
      <c r="AB41" s="2902"/>
      <c r="AC41" s="2903" t="s">
        <v>448</v>
      </c>
      <c r="AD41" s="2954" t="s">
        <v>542</v>
      </c>
      <c r="AE41" s="2917"/>
      <c r="AF41" s="2917"/>
      <c r="AG41" s="2955"/>
      <c r="AH41" s="2954" t="s">
        <v>543</v>
      </c>
      <c r="AI41" s="2917"/>
      <c r="AJ41" s="2917"/>
      <c r="AK41" s="2955"/>
      <c r="AL41" s="2954" t="s">
        <v>544</v>
      </c>
      <c r="AM41" s="2917"/>
      <c r="AN41" s="2917"/>
      <c r="AO41" s="2955"/>
      <c r="AP41" s="2954" t="s">
        <v>529</v>
      </c>
      <c r="AQ41" s="2917"/>
      <c r="AR41" s="2917"/>
      <c r="AS41" s="2955"/>
      <c r="AT41" s="2900" t="s">
        <v>447</v>
      </c>
      <c r="AU41" s="2901"/>
      <c r="AV41" s="2901"/>
      <c r="AW41" s="2901"/>
      <c r="AX41" s="2901"/>
      <c r="AY41" s="2901"/>
      <c r="AZ41" s="2902"/>
      <c r="BA41" s="2903" t="s">
        <v>448</v>
      </c>
      <c r="BB41" s="2906" t="s">
        <v>450</v>
      </c>
      <c r="BC41" s="2753"/>
      <c r="BI41" s="1781">
        <v>14</v>
      </c>
    </row>
    <row customHeight="1" ht="35.699999999999996">
      <c r="Q42" s="917"/>
      <c r="R42" s="1002"/>
      <c r="S42" s="2899"/>
      <c r="T42" s="2835"/>
      <c r="U42" s="1657"/>
      <c r="V42" s="2818" t="s">
        <v>530</v>
      </c>
      <c r="W42" s="2819"/>
      <c r="X42" s="2818" t="s">
        <v>531</v>
      </c>
      <c r="Y42" s="2819"/>
      <c r="Z42" s="2920" t="s">
        <v>532</v>
      </c>
      <c r="AA42" s="2939"/>
      <c r="AB42" s="2940"/>
      <c r="AC42" s="2904"/>
      <c r="AD42" s="2956"/>
      <c r="AE42" s="2957"/>
      <c r="AF42" s="2957"/>
      <c r="AG42" s="2958"/>
      <c r="AH42" s="2956"/>
      <c r="AI42" s="2957"/>
      <c r="AJ42" s="2957"/>
      <c r="AK42" s="2958"/>
      <c r="AL42" s="2956"/>
      <c r="AM42" s="2957"/>
      <c r="AN42" s="2957"/>
      <c r="AO42" s="2958"/>
      <c r="AP42" s="2956"/>
      <c r="AQ42" s="2957"/>
      <c r="AR42" s="2957"/>
      <c r="AS42" s="2958"/>
      <c r="AT42" s="2818" t="s">
        <v>545</v>
      </c>
      <c r="AU42" s="2819"/>
      <c r="AV42" s="2818" t="s">
        <v>546</v>
      </c>
      <c r="AW42" s="2819"/>
      <c r="AX42" s="2920" t="s">
        <v>532</v>
      </c>
      <c r="AY42" s="2939"/>
      <c r="AZ42" s="2940"/>
      <c r="BA42" s="2904"/>
      <c r="BB42" s="2907"/>
      <c r="BC42" s="2753"/>
      <c r="BI42" s="1781">
        <v>34</v>
      </c>
    </row>
    <row customHeight="1" ht="14.699999999999998">
      <c r="Q43" s="917"/>
      <c r="R43" s="1002"/>
      <c r="S43" s="2899"/>
      <c r="T43" s="2835"/>
      <c r="U43" s="1657"/>
      <c r="V43" s="2826"/>
      <c r="W43" s="2827"/>
      <c r="X43" s="2826"/>
      <c r="Y43" s="2827"/>
      <c r="Z43" s="2921"/>
      <c r="AA43" s="2941"/>
      <c r="AB43" s="2942"/>
      <c r="AC43" s="2904"/>
      <c r="AD43" s="2956"/>
      <c r="AE43" s="2957"/>
      <c r="AF43" s="2957"/>
      <c r="AG43" s="2958"/>
      <c r="AH43" s="2956"/>
      <c r="AI43" s="2957"/>
      <c r="AJ43" s="2957"/>
      <c r="AK43" s="2958"/>
      <c r="AL43" s="2956"/>
      <c r="AM43" s="2957"/>
      <c r="AN43" s="2957"/>
      <c r="AO43" s="2958"/>
      <c r="AP43" s="2956"/>
      <c r="AQ43" s="2957"/>
      <c r="AR43" s="2957"/>
      <c r="AS43" s="2958"/>
      <c r="AT43" s="2826"/>
      <c r="AU43" s="2827"/>
      <c r="AV43" s="2826"/>
      <c r="AW43" s="2827"/>
      <c r="AX43" s="2921"/>
      <c r="AY43" s="2941"/>
      <c r="AZ43" s="2942"/>
      <c r="BA43" s="2904"/>
      <c r="BB43" s="2907"/>
      <c r="BC43" s="2753"/>
      <c r="BI43" s="1781">
        <v>14</v>
      </c>
    </row>
    <row customHeight="1" ht="14.699999999999998">
      <c r="A44" s="1996"/>
      <c r="B44" s="1996" t="s">
        <v>155</v>
      </c>
      <c r="C44" s="1996" t="s">
        <v>156</v>
      </c>
      <c r="D44" s="1996" t="s">
        <v>157</v>
      </c>
      <c r="E44" s="1990" t="s">
        <v>455</v>
      </c>
      <c r="F44" s="1990" t="s">
        <v>456</v>
      </c>
      <c r="G44" s="1990" t="s">
        <v>457</v>
      </c>
      <c r="H44" s="1990" t="s">
        <v>458</v>
      </c>
      <c r="I44" s="1990" t="s">
        <v>459</v>
      </c>
      <c r="J44" s="1990" t="s">
        <v>460</v>
      </c>
      <c r="K44" s="1990" t="s">
        <v>461</v>
      </c>
      <c r="L44" s="1990" t="s">
        <v>436</v>
      </c>
      <c r="Q44" s="917"/>
      <c r="R44" s="1002"/>
      <c r="S44" s="2899"/>
      <c r="T44" s="2835"/>
      <c r="U44" s="928"/>
      <c r="V44" s="2105" t="s">
        <v>496</v>
      </c>
      <c r="W44" s="2105" t="s">
        <v>497</v>
      </c>
      <c r="X44" s="2105" t="s">
        <v>496</v>
      </c>
      <c r="Y44" s="2105" t="s">
        <v>497</v>
      </c>
      <c r="Z44" s="2115" t="s">
        <v>464</v>
      </c>
      <c r="AA44" s="2896" t="s">
        <v>465</v>
      </c>
      <c r="AB44" s="2897"/>
      <c r="AC44" s="2905"/>
      <c r="AD44" s="2959"/>
      <c r="AE44" s="2960"/>
      <c r="AF44" s="2960"/>
      <c r="AG44" s="2961"/>
      <c r="AH44" s="2959"/>
      <c r="AI44" s="2960"/>
      <c r="AJ44" s="2960"/>
      <c r="AK44" s="2961"/>
      <c r="AL44" s="2959"/>
      <c r="AM44" s="2960"/>
      <c r="AN44" s="2960"/>
      <c r="AO44" s="2961"/>
      <c r="AP44" s="2959"/>
      <c r="AQ44" s="2960"/>
      <c r="AR44" s="2960"/>
      <c r="AS44" s="2961"/>
      <c r="AT44" s="2105" t="s">
        <v>496</v>
      </c>
      <c r="AU44" s="2105" t="s">
        <v>497</v>
      </c>
      <c r="AV44" s="2105" t="s">
        <v>496</v>
      </c>
      <c r="AW44" s="2105" t="s">
        <v>497</v>
      </c>
      <c r="AX44" s="2115" t="s">
        <v>464</v>
      </c>
      <c r="AY44" s="2896" t="s">
        <v>465</v>
      </c>
      <c r="AZ44" s="2897"/>
      <c r="BA44" s="2905"/>
      <c r="BB44" s="2908"/>
      <c r="BC44" s="2753"/>
      <c r="BI44" s="1781">
        <v>14</v>
      </c>
    </row>
    <row s="35197" customFormat="1" customHeight="1" ht="11.25" hidden="1">
      <c r="A45" s="1996"/>
      <c r="B45" s="1996"/>
      <c r="C45" s="1996"/>
      <c r="D45" s="1996"/>
      <c r="E45" s="1996"/>
      <c r="F45" s="1996"/>
      <c r="G45" s="1996"/>
      <c r="H45" s="1996"/>
      <c r="I45" s="1996"/>
      <c r="J45" s="1996"/>
      <c r="K45" s="1996"/>
      <c r="L45" s="1990"/>
      <c r="M45" s="1988"/>
      <c r="N45" s="1988"/>
      <c r="O45" s="1988"/>
      <c r="P45" s="1136"/>
      <c r="Q45" s="1880"/>
      <c r="R45" s="1880">
        <v>1</v>
      </c>
      <c r="S45" s="1903" t="s">
        <v>118</v>
      </c>
      <c r="T45" s="1881" t="s">
        <v>102</v>
      </c>
      <c r="U45" s="1871" t="str">
        <f>OFFSET(U45,0,-1)</f>
        <v>2</v>
      </c>
      <c r="V45" s="2108">
        <f>OFFSET(V45,0,-1)+1</f>
        <v>3</v>
      </c>
      <c r="W45" s="2108">
        <f>OFFSET(W45,0,-1)+1</f>
        <v>4</v>
      </c>
      <c r="X45" s="2108">
        <f>OFFSET(X45,0,-1)+1</f>
        <v>5</v>
      </c>
      <c r="Y45" s="2108">
        <f>OFFSET(Y45,0,-1)+1</f>
        <v>6</v>
      </c>
      <c r="Z45" s="2108">
        <f>OFFSET(Z45,0,-1)+1</f>
        <v>7</v>
      </c>
      <c r="AA45" s="2898">
        <f>OFFSET(AA45,0,-1)+1</f>
        <v>8</v>
      </c>
      <c r="AB45" s="2898"/>
      <c r="AC45" s="2108">
        <f>OFFSET(AC45,0,-2)+1</f>
        <v>9</v>
      </c>
      <c r="AD45" s="2108">
        <f>OFFSET(AD45,0,-1)+1</f>
        <v>10</v>
      </c>
      <c r="AE45" s="2108"/>
      <c r="AF45" s="2108"/>
      <c r="AG45" s="2108"/>
      <c r="AH45" s="2108"/>
      <c r="AI45" s="2108"/>
      <c r="AJ45" s="2108"/>
      <c r="AK45" s="2108"/>
      <c r="AL45" s="2108"/>
      <c r="AM45" s="2108"/>
      <c r="AN45" s="2108"/>
      <c r="AO45" s="2108"/>
      <c r="AP45" s="2108"/>
      <c r="AQ45" s="2108"/>
      <c r="AR45" s="2108"/>
      <c r="AS45" s="2108"/>
      <c r="AT45" s="2108"/>
      <c r="AU45" s="2108"/>
      <c r="AV45" s="2108"/>
      <c r="AW45" s="2108">
        <f>OFFSET(AW45,0,-1)+1</f>
        <v>1</v>
      </c>
      <c r="AX45" s="2108">
        <f>OFFSET(AX45,0,-1)+1</f>
        <v>2</v>
      </c>
      <c r="AY45" s="2898">
        <f>OFFSET(AY45,0,-1)+1</f>
        <v>3</v>
      </c>
      <c r="AZ45" s="2898"/>
      <c r="BA45" s="2108">
        <f>OFFSET(BA45,0,-2)+1</f>
        <v>4</v>
      </c>
      <c r="BB45" s="1871">
        <f>OFFSET(BB45,0,-1)</f>
        <v>4</v>
      </c>
      <c r="BC45" s="2108">
        <f>OFFSET(BC45,0,-1)+1</f>
        <v>5</v>
      </c>
      <c r="BD45" s="1137"/>
      <c r="BE45" s="1137"/>
      <c r="BF45" s="1137"/>
      <c r="BG45" s="1137"/>
      <c r="BH45" s="1137"/>
      <c r="BI45" s="1122">
        <v>0</v>
      </c>
    </row>
    <row customHeight="1" ht="22.049999999999997">
      <c r="A46" s="1989" t="s">
        <v>294</v>
      </c>
      <c r="B46" s="1989"/>
      <c r="C46" s="1989"/>
      <c r="D46" s="1989"/>
      <c r="E46" s="2884">
        <v>1</v>
      </c>
      <c r="F46" s="1989"/>
      <c r="G46" s="1989"/>
      <c r="H46" s="1989"/>
      <c r="I46" s="1989"/>
      <c r="J46" s="1989"/>
      <c r="K46" s="1989"/>
      <c r="L46" s="1990"/>
      <c r="M46" s="1991"/>
      <c r="N46" s="1991"/>
      <c r="O46" s="1991"/>
      <c r="P46" s="2035"/>
      <c r="Q46" s="1499"/>
      <c r="R46" s="981"/>
      <c r="S46" s="2119">
        <f>INDEX(PT_DIFFERENTIATION_NUM_NTAR,MATCH(A46,PT_DIFFERENTIATION_NTAR_ID,0))</f>
        <v>0</v>
      </c>
      <c r="T46" s="924" t="s">
        <v>143</v>
      </c>
      <c r="U46" s="926"/>
      <c r="V46" s="2869"/>
      <c r="W46" s="2869"/>
      <c r="X46" s="2869"/>
      <c r="Y46" s="2869"/>
      <c r="Z46" s="2869"/>
      <c r="AA46" s="2869"/>
      <c r="AB46" s="2869"/>
      <c r="AC46" s="2870"/>
      <c r="AD46" s="2868" t="str">
        <f>INDEX(PT_DIFFERENTIATION_NTAR,MATCH(A46,PT_DIFFERENTIATION_NTAR_ID,0))</f>
        <v/>
      </c>
      <c r="AE46" s="2869"/>
      <c r="AF46" s="2869"/>
      <c r="AG46" s="2869"/>
      <c r="AH46" s="2869"/>
      <c r="AI46" s="2869"/>
      <c r="AJ46" s="2869"/>
      <c r="AK46" s="2869"/>
      <c r="AL46" s="2869"/>
      <c r="AM46" s="2869"/>
      <c r="AN46" s="2869"/>
      <c r="AO46" s="2869"/>
      <c r="AP46" s="2869"/>
      <c r="AQ46" s="2869"/>
      <c r="AR46" s="2869"/>
      <c r="AS46" s="2869"/>
      <c r="AT46" s="2869"/>
      <c r="AU46" s="2869"/>
      <c r="AV46" s="2869"/>
      <c r="AW46" s="2869"/>
      <c r="AX46" s="2869"/>
      <c r="AY46" s="2869"/>
      <c r="AZ46" s="2869"/>
      <c r="BA46" s="2869"/>
      <c r="BB46" s="2870"/>
      <c r="BC46"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26"/>
      <c r="BF46" s="1126" t="str">
        <f>IF(T46="","",T46)</f>
        <v>Наименование тарифа</v>
      </c>
      <c r="BG46" s="1126"/>
      <c r="BH46" s="1126"/>
      <c r="BI46" s="1781">
        <v>21</v>
      </c>
    </row>
    <row customHeight="1" ht="22.049999999999997">
      <c r="A47" s="1989" t="s">
        <v>294</v>
      </c>
      <c r="B47" s="1989" t="s">
        <v>295</v>
      </c>
      <c r="C47" s="1989"/>
      <c r="D47" s="1989"/>
      <c r="E47" s="2885"/>
      <c r="F47" s="2884">
        <v>1</v>
      </c>
      <c r="G47" s="1989"/>
      <c r="H47" s="1989"/>
      <c r="I47" s="1989"/>
      <c r="J47" s="1989"/>
      <c r="K47" s="1989"/>
      <c r="L47" s="1990"/>
      <c r="M47" s="1991"/>
      <c r="N47" s="1991"/>
      <c r="O47" s="1991"/>
      <c r="P47" s="2036"/>
      <c r="Q47" s="2037"/>
      <c r="R47" s="979"/>
      <c r="S47" s="2119" t="str">
        <f>INDEX(PT_DIFFERENTIATION_NUM_TER,MATCH(B47,PT_DIFFERENTIATION_TER_ID,0))</f>
        <v>.</v>
      </c>
      <c r="T47" s="934" t="s">
        <v>415</v>
      </c>
      <c r="U47" s="926"/>
      <c r="V47" s="2869"/>
      <c r="W47" s="2869"/>
      <c r="X47" s="2869"/>
      <c r="Y47" s="2869"/>
      <c r="Z47" s="2869"/>
      <c r="AA47" s="2869"/>
      <c r="AB47" s="2869"/>
      <c r="AC47" s="2870"/>
      <c r="AD47" s="2868" t="str">
        <f>INDEX(PT_DIFFERENTIATION_TER,MATCH(B47,PT_DIFFERENTIATION_TER_ID,0))</f>
        <v/>
      </c>
      <c r="AE47" s="2869"/>
      <c r="AF47" s="2869"/>
      <c r="AG47" s="2869"/>
      <c r="AH47" s="2869"/>
      <c r="AI47" s="2869"/>
      <c r="AJ47" s="2869"/>
      <c r="AK47" s="2869"/>
      <c r="AL47" s="2869"/>
      <c r="AM47" s="2869"/>
      <c r="AN47" s="2869"/>
      <c r="AO47" s="2869"/>
      <c r="AP47" s="2869"/>
      <c r="AQ47" s="2869"/>
      <c r="AR47" s="2869"/>
      <c r="AS47" s="2869"/>
      <c r="AT47" s="2869"/>
      <c r="AU47" s="2869"/>
      <c r="AV47" s="2869"/>
      <c r="AW47" s="2869"/>
      <c r="AX47" s="2869"/>
      <c r="AY47" s="2869"/>
      <c r="AZ47" s="2869"/>
      <c r="BA47" s="2869"/>
      <c r="BB47" s="2870"/>
      <c r="BC47" s="1884" t="s">
        <v>416</v>
      </c>
      <c r="BE47" s="1126"/>
      <c r="BF47" s="1126" t="str">
        <f>IF(T47="","",T47)</f>
        <v>Территория действия тарифа</v>
      </c>
      <c r="BG47" s="1126"/>
      <c r="BH47" s="1126"/>
      <c r="BI47" s="1781">
        <v>21</v>
      </c>
    </row>
    <row customHeight="1" ht="35.699999999999996">
      <c r="A48" s="1989" t="s">
        <v>294</v>
      </c>
      <c r="B48" s="1989" t="s">
        <v>295</v>
      </c>
      <c r="C48" s="1989" t="s">
        <v>296</v>
      </c>
      <c r="D48" s="1989"/>
      <c r="E48" s="2885"/>
      <c r="F48" s="2885"/>
      <c r="G48" s="2884">
        <v>1</v>
      </c>
      <c r="H48" s="1989"/>
      <c r="I48" s="1989"/>
      <c r="J48" s="1989"/>
      <c r="K48" s="1989"/>
      <c r="L48" s="1990"/>
      <c r="M48" s="1991"/>
      <c r="N48" s="1991"/>
      <c r="O48" s="1991"/>
      <c r="P48" s="2038"/>
      <c r="Q48" s="2037"/>
      <c r="R48" s="979"/>
      <c r="S48" s="2119" t="str">
        <f>INDEX(PT_DIFFERENTIATION_NUM_CS,MATCH(C48,PT_DIFFERENTIATION_CS_ID,0))</f>
        <v>..</v>
      </c>
      <c r="T48" s="935" t="s">
        <v>534</v>
      </c>
      <c r="U48" s="926"/>
      <c r="V48" s="2869"/>
      <c r="W48" s="2869"/>
      <c r="X48" s="2869"/>
      <c r="Y48" s="2869"/>
      <c r="Z48" s="2869"/>
      <c r="AA48" s="2869"/>
      <c r="AB48" s="2869"/>
      <c r="AC48" s="2870"/>
      <c r="AD48" s="2868" t="str">
        <f>INDEX(PT_DIFFERENTIATION_CS,MATCH(C48,PT_DIFFERENTIATION_CS_ID,0))</f>
        <v/>
      </c>
      <c r="AE48" s="2869"/>
      <c r="AF48" s="2869"/>
      <c r="AG48" s="2869"/>
      <c r="AH48" s="2869"/>
      <c r="AI48" s="2869"/>
      <c r="AJ48" s="2869"/>
      <c r="AK48" s="2869"/>
      <c r="AL48" s="2869"/>
      <c r="AM48" s="2869"/>
      <c r="AN48" s="2869"/>
      <c r="AO48" s="2869"/>
      <c r="AP48" s="2869"/>
      <c r="AQ48" s="2869"/>
      <c r="AR48" s="2869"/>
      <c r="AS48" s="2869"/>
      <c r="AT48" s="2869"/>
      <c r="AU48" s="2869"/>
      <c r="AV48" s="2869"/>
      <c r="AW48" s="2869"/>
      <c r="AX48" s="2869"/>
      <c r="AY48" s="2869"/>
      <c r="AZ48" s="2869"/>
      <c r="BA48" s="2869"/>
      <c r="BB48" s="2870"/>
      <c r="BC48" s="1884" t="s">
        <v>535</v>
      </c>
      <c r="BE48" s="1126"/>
      <c r="BF48" s="1126" t="str">
        <f>IF(T48="","",T48)</f>
        <v>Наименование централизованной системы водоотведения</v>
      </c>
      <c r="BG48" s="1126"/>
      <c r="BH48" s="1126"/>
      <c r="BI48" s="1781">
        <v>34</v>
      </c>
    </row>
    <row s="34658" customFormat="1" customHeight="1" ht="0">
      <c r="A49" s="1969" t="s">
        <v>294</v>
      </c>
      <c r="B49" s="1969" t="s">
        <v>295</v>
      </c>
      <c r="C49" s="1969" t="s">
        <v>296</v>
      </c>
      <c r="D49" s="1969" t="s">
        <v>547</v>
      </c>
      <c r="E49" s="2885"/>
      <c r="F49" s="2885"/>
      <c r="G49" s="2885"/>
      <c r="H49" s="2884">
        <v>1</v>
      </c>
      <c r="I49" s="1969"/>
      <c r="J49" s="1969"/>
      <c r="K49" s="1969"/>
      <c r="L49" s="1972"/>
      <c r="M49" s="1941"/>
      <c r="N49" s="1941"/>
      <c r="O49" s="1941"/>
      <c r="P49" s="2123"/>
      <c r="Q49" s="2124"/>
      <c r="R49" s="983"/>
      <c r="S49" s="1668"/>
      <c r="T49" s="2125"/>
      <c r="U49" s="2010"/>
      <c r="V49" s="2923"/>
      <c r="W49" s="2923"/>
      <c r="X49" s="2923"/>
      <c r="Y49" s="2923"/>
      <c r="Z49" s="2923"/>
      <c r="AA49" s="2923"/>
      <c r="AB49" s="2923"/>
      <c r="AC49" s="2924"/>
      <c r="AD49" s="2922"/>
      <c r="AE49" s="2923"/>
      <c r="AF49" s="2923"/>
      <c r="AG49" s="2923"/>
      <c r="AH49" s="2923"/>
      <c r="AI49" s="2923"/>
      <c r="AJ49" s="2923"/>
      <c r="AK49" s="2923"/>
      <c r="AL49" s="2923"/>
      <c r="AM49" s="2923"/>
      <c r="AN49" s="2923"/>
      <c r="AO49" s="2923"/>
      <c r="AP49" s="2923"/>
      <c r="AQ49" s="2923"/>
      <c r="AR49" s="2923"/>
      <c r="AS49" s="2923"/>
      <c r="AT49" s="2923"/>
      <c r="AU49" s="2923"/>
      <c r="AV49" s="2923"/>
      <c r="AW49" s="2923"/>
      <c r="AX49" s="2923"/>
      <c r="AY49" s="2923"/>
      <c r="AZ49" s="2923"/>
      <c r="BA49" s="2923"/>
      <c r="BB49" s="2924"/>
      <c r="BC49" s="2011" t="s">
        <v>420</v>
      </c>
      <c r="BE49" s="1126"/>
      <c r="BF49" s="1126" t="str">
        <f>IF(T49="","",T49)</f>
        <v/>
      </c>
      <c r="BG49" s="1126"/>
      <c r="BH49" s="1126"/>
      <c r="BI49" s="1137">
        <v>0</v>
      </c>
    </row>
    <row s="34658" customFormat="1" customHeight="1" ht="0">
      <c r="A50" s="1969" t="s">
        <v>294</v>
      </c>
      <c r="B50" s="1969" t="s">
        <v>295</v>
      </c>
      <c r="C50" s="1969" t="s">
        <v>296</v>
      </c>
      <c r="D50" s="1969" t="s">
        <v>547</v>
      </c>
      <c r="E50" s="2885"/>
      <c r="F50" s="2885"/>
      <c r="G50" s="2885"/>
      <c r="H50" s="2885"/>
      <c r="I50" s="2882" t="str">
        <f>S49&amp;".1"</f>
        <v>.1</v>
      </c>
      <c r="J50" s="1969"/>
      <c r="K50" s="1969"/>
      <c r="L50" s="1972" t="s">
        <v>421</v>
      </c>
      <c r="M50" s="1136"/>
      <c r="N50" s="1136"/>
      <c r="O50" s="1136"/>
      <c r="P50" s="2883">
        <v>1</v>
      </c>
      <c r="Q50" s="2107"/>
      <c r="R50" s="982"/>
      <c r="S50" s="1668"/>
      <c r="T50" s="2009"/>
      <c r="U50" s="2010"/>
      <c r="V50" s="2923"/>
      <c r="W50" s="2923"/>
      <c r="X50" s="2923"/>
      <c r="Y50" s="2923"/>
      <c r="Z50" s="2923"/>
      <c r="AA50" s="2923"/>
      <c r="AB50" s="2923"/>
      <c r="AC50" s="2924"/>
      <c r="AD50" s="2922"/>
      <c r="AE50" s="2923"/>
      <c r="AF50" s="2923"/>
      <c r="AG50" s="2923"/>
      <c r="AH50" s="2923"/>
      <c r="AI50" s="2923"/>
      <c r="AJ50" s="2923"/>
      <c r="AK50" s="2923"/>
      <c r="AL50" s="2923"/>
      <c r="AM50" s="2923"/>
      <c r="AN50" s="2923"/>
      <c r="AO50" s="2923"/>
      <c r="AP50" s="2923"/>
      <c r="AQ50" s="2923"/>
      <c r="AR50" s="2923"/>
      <c r="AS50" s="2923"/>
      <c r="AT50" s="2923"/>
      <c r="AU50" s="2923"/>
      <c r="AV50" s="2923"/>
      <c r="AW50" s="2923"/>
      <c r="AX50" s="2923"/>
      <c r="AY50" s="2923"/>
      <c r="AZ50" s="2923"/>
      <c r="BA50" s="2923"/>
      <c r="BB50" s="2924"/>
      <c r="BC50" s="2011"/>
      <c r="BE50" s="1126"/>
      <c r="BF50" s="1126" t="str">
        <f>IF(T50="","",T50)</f>
        <v/>
      </c>
      <c r="BG50" s="1126"/>
      <c r="BH50" s="1126"/>
      <c r="BI50" s="1137">
        <v>0</v>
      </c>
    </row>
    <row s="34658" customFormat="1" customHeight="1" ht="0">
      <c r="A51" s="1969" t="s">
        <v>294</v>
      </c>
      <c r="B51" s="1969" t="s">
        <v>295</v>
      </c>
      <c r="C51" s="1969" t="s">
        <v>296</v>
      </c>
      <c r="D51" s="1969" t="s">
        <v>547</v>
      </c>
      <c r="E51" s="2885"/>
      <c r="F51" s="2885"/>
      <c r="G51" s="2885"/>
      <c r="H51" s="2885"/>
      <c r="I51" s="2912"/>
      <c r="J51" s="2882" t="str">
        <f>S49&amp;".1"</f>
        <v>.1</v>
      </c>
      <c r="K51" s="1969"/>
      <c r="L51" s="1972"/>
      <c r="M51" s="1136"/>
      <c r="N51" s="1136"/>
      <c r="O51" s="1136"/>
      <c r="P51" s="2883"/>
      <c r="Q51" s="2883">
        <v>1</v>
      </c>
      <c r="R51" s="983"/>
      <c r="S51" s="1668"/>
      <c r="T51" s="2025"/>
      <c r="U51" s="2010"/>
      <c r="V51" s="2923"/>
      <c r="W51" s="2923"/>
      <c r="X51" s="2923"/>
      <c r="Y51" s="2923"/>
      <c r="Z51" s="2923"/>
      <c r="AA51" s="2923"/>
      <c r="AB51" s="2923"/>
      <c r="AC51" s="2924"/>
      <c r="AD51" s="2922"/>
      <c r="AE51" s="2923"/>
      <c r="AF51" s="2923"/>
      <c r="AG51" s="2923"/>
      <c r="AH51" s="2923"/>
      <c r="AI51" s="2923"/>
      <c r="AJ51" s="2923"/>
      <c r="AK51" s="2923"/>
      <c r="AL51" s="2923"/>
      <c r="AM51" s="2923"/>
      <c r="AN51" s="2990"/>
      <c r="AO51" s="2990"/>
      <c r="AP51" s="2923"/>
      <c r="AQ51" s="2923"/>
      <c r="AR51" s="2923"/>
      <c r="AS51" s="2923"/>
      <c r="AT51" s="2923"/>
      <c r="AU51" s="2923"/>
      <c r="AV51" s="2923"/>
      <c r="AW51" s="2923"/>
      <c r="AX51" s="2923"/>
      <c r="AY51" s="2923"/>
      <c r="AZ51" s="2923"/>
      <c r="BA51" s="2923"/>
      <c r="BB51" s="2924"/>
      <c r="BC51" s="2011"/>
      <c r="BE51" s="1126"/>
      <c r="BF51" s="1126" t="str">
        <f>IF(T51="","",T51)</f>
        <v/>
      </c>
      <c r="BG51" s="1126"/>
      <c r="BH51" s="1126"/>
      <c r="BI51" s="1137">
        <v>0</v>
      </c>
    </row>
    <row customHeight="1" ht="11.549999999999999">
      <c r="A52" s="1989" t="s">
        <v>294</v>
      </c>
      <c r="B52" s="1989" t="s">
        <v>295</v>
      </c>
      <c r="C52" s="1989" t="s">
        <v>296</v>
      </c>
      <c r="D52" s="1989" t="s">
        <v>547</v>
      </c>
      <c r="E52" s="2885"/>
      <c r="F52" s="2885"/>
      <c r="G52" s="2885"/>
      <c r="H52" s="2885"/>
      <c r="I52" s="2912"/>
      <c r="J52" s="2912"/>
      <c r="K52" s="2882" t="str">
        <f>S48&amp;".1"</f>
        <v>...1</v>
      </c>
      <c r="L52" s="1990"/>
      <c r="P52" s="2883"/>
      <c r="Q52" s="2883"/>
      <c r="R52" s="983">
        <v>1</v>
      </c>
      <c r="S52" s="2967" t="str">
        <f>$K52</f>
        <v>...1</v>
      </c>
      <c r="T52" s="2986"/>
      <c r="U52" s="926"/>
      <c r="V52" s="1377"/>
      <c r="W52" s="1883"/>
      <c r="X52" s="1377"/>
      <c r="Y52" s="1883"/>
      <c r="Z52" s="2360"/>
      <c r="AA52" s="2095" t="s">
        <v>66</v>
      </c>
      <c r="AB52" s="2360"/>
      <c r="AC52" s="2095" t="s">
        <v>66</v>
      </c>
      <c r="AD52" s="2811" t="s">
        <v>66</v>
      </c>
      <c r="AE52" s="2952"/>
      <c r="AF52" s="2831">
        <v>1</v>
      </c>
      <c r="AG52" s="2989"/>
      <c r="AH52" s="2733" t="s">
        <v>66</v>
      </c>
      <c r="AI52" s="2952"/>
      <c r="AJ52" s="2831">
        <v>1</v>
      </c>
      <c r="AK52" s="2953" t="s">
        <v>22</v>
      </c>
      <c r="AL52" s="2733" t="s">
        <v>66</v>
      </c>
      <c r="AM52" s="2818"/>
      <c r="AN52" s="2831">
        <v>1</v>
      </c>
      <c r="AO52" s="2983"/>
      <c r="AP52" s="2984" t="s">
        <v>66</v>
      </c>
      <c r="AQ52" s="937"/>
      <c r="AR52" s="2112">
        <v>1</v>
      </c>
      <c r="AS52" s="2118" t="s">
        <v>22</v>
      </c>
      <c r="AT52" s="1377"/>
      <c r="AU52" s="1883"/>
      <c r="AV52" s="1377"/>
      <c r="AW52" s="1883"/>
      <c r="AX52" s="2360"/>
      <c r="AY52" s="2095" t="s">
        <v>66</v>
      </c>
      <c r="AZ52" s="2360"/>
      <c r="BA52" s="2095" t="s">
        <v>66</v>
      </c>
      <c r="BB52" s="1974"/>
      <c r="BC52" s="2879" t="s">
        <v>519</v>
      </c>
      <c r="BE52" s="1126"/>
      <c r="BF52" s="1126" t="str">
        <f>IF(T52="","",T52)</f>
        <v/>
      </c>
      <c r="BG52" s="1126"/>
      <c r="BH52" s="1126"/>
      <c r="BI52" s="1781">
        <v>11</v>
      </c>
    </row>
    <row customHeight="1" ht="11.549999999999999">
      <c r="A53" s="1989"/>
      <c r="B53" s="1989"/>
      <c r="C53" s="1989"/>
      <c r="D53" s="1989"/>
      <c r="E53" s="2885"/>
      <c r="F53" s="2885"/>
      <c r="G53" s="2885"/>
      <c r="H53" s="2885"/>
      <c r="I53" s="2912"/>
      <c r="J53" s="2912"/>
      <c r="K53" s="2882"/>
      <c r="L53" s="1990"/>
      <c r="P53" s="2883"/>
      <c r="Q53" s="2883"/>
      <c r="R53" s="983"/>
      <c r="S53" s="2968"/>
      <c r="T53" s="2987"/>
      <c r="U53" s="926"/>
      <c r="V53" s="2019"/>
      <c r="W53" s="2122"/>
      <c r="X53" s="2019"/>
      <c r="Y53" s="2122"/>
      <c r="Z53" s="2019"/>
      <c r="AA53" s="2019"/>
      <c r="AB53" s="2019"/>
      <c r="AC53" s="2019"/>
      <c r="AD53" s="2812"/>
      <c r="AE53" s="2952"/>
      <c r="AF53" s="2831"/>
      <c r="AG53" s="2989"/>
      <c r="AH53" s="2733"/>
      <c r="AI53" s="2952"/>
      <c r="AJ53" s="2831"/>
      <c r="AK53" s="2953"/>
      <c r="AL53" s="2733"/>
      <c r="AM53" s="2826"/>
      <c r="AN53" s="2831"/>
      <c r="AO53" s="2983"/>
      <c r="AP53" s="2985"/>
      <c r="AQ53" s="942"/>
      <c r="AR53" s="1042"/>
      <c r="AS53" s="1042" t="s">
        <v>520</v>
      </c>
      <c r="AT53" s="2019"/>
      <c r="AU53" s="2122"/>
      <c r="AV53" s="2019"/>
      <c r="AW53" s="2122"/>
      <c r="AX53" s="2019"/>
      <c r="AY53" s="2019"/>
      <c r="AZ53" s="2019"/>
      <c r="BA53" s="2019"/>
      <c r="BB53" s="2023"/>
      <c r="BC53" s="2880"/>
      <c r="BE53" s="1126"/>
      <c r="BF53" s="1126"/>
      <c r="BG53" s="1126"/>
      <c r="BH53" s="1126"/>
      <c r="BI53" s="1781">
        <v>11</v>
      </c>
    </row>
    <row customHeight="1" ht="11.549999999999999">
      <c r="A54" s="1989" t="s">
        <v>294</v>
      </c>
      <c r="B54" s="1989"/>
      <c r="C54" s="1989"/>
      <c r="D54" s="1989"/>
      <c r="E54" s="2885"/>
      <c r="F54" s="2885"/>
      <c r="G54" s="2885"/>
      <c r="H54" s="2885"/>
      <c r="I54" s="2912"/>
      <c r="J54" s="2912"/>
      <c r="K54" s="2882"/>
      <c r="L54" s="1990"/>
      <c r="P54" s="2883"/>
      <c r="Q54" s="2883"/>
      <c r="R54" s="983"/>
      <c r="S54" s="2968"/>
      <c r="T54" s="2987"/>
      <c r="U54" s="926"/>
      <c r="V54" s="2019"/>
      <c r="W54" s="2122"/>
      <c r="X54" s="2019"/>
      <c r="Y54" s="2122"/>
      <c r="Z54" s="2019"/>
      <c r="AA54" s="2019"/>
      <c r="AB54" s="2019"/>
      <c r="AC54" s="2019"/>
      <c r="AD54" s="2812"/>
      <c r="AE54" s="2952"/>
      <c r="AF54" s="2831"/>
      <c r="AG54" s="2989"/>
      <c r="AH54" s="2733"/>
      <c r="AI54" s="2952"/>
      <c r="AJ54" s="2831"/>
      <c r="AK54" s="2953"/>
      <c r="AL54" s="2733"/>
      <c r="AM54" s="942"/>
      <c r="AN54" s="2126"/>
      <c r="AO54" s="2126" t="s">
        <v>540</v>
      </c>
      <c r="AP54" s="1042"/>
      <c r="AQ54" s="1042"/>
      <c r="AR54" s="1042"/>
      <c r="AS54" s="2019"/>
      <c r="AT54" s="2019"/>
      <c r="AU54" s="2122"/>
      <c r="AV54" s="2019"/>
      <c r="AW54" s="2122"/>
      <c r="AX54" s="2019"/>
      <c r="AY54" s="2019"/>
      <c r="AZ54" s="2019"/>
      <c r="BA54" s="2019"/>
      <c r="BB54" s="2023"/>
      <c r="BC54" s="2880"/>
      <c r="BE54" s="1126"/>
      <c r="BF54" s="1126"/>
      <c r="BG54" s="1126"/>
      <c r="BH54" s="1126"/>
      <c r="BI54" s="1781">
        <v>11</v>
      </c>
    </row>
    <row customHeight="1" ht="11.549999999999999">
      <c r="A55" s="1989" t="s">
        <v>294</v>
      </c>
      <c r="B55" s="1989"/>
      <c r="C55" s="1989"/>
      <c r="D55" s="1989"/>
      <c r="E55" s="2885"/>
      <c r="F55" s="2885"/>
      <c r="G55" s="2885"/>
      <c r="H55" s="2885"/>
      <c r="I55" s="2912"/>
      <c r="J55" s="2912"/>
      <c r="K55" s="2882"/>
      <c r="L55" s="1990"/>
      <c r="P55" s="2883"/>
      <c r="Q55" s="2883"/>
      <c r="R55" s="983"/>
      <c r="S55" s="2968"/>
      <c r="T55" s="2987"/>
      <c r="U55" s="926"/>
      <c r="V55" s="2019"/>
      <c r="W55" s="2122"/>
      <c r="X55" s="2019"/>
      <c r="Y55" s="2122"/>
      <c r="Z55" s="2019"/>
      <c r="AA55" s="2019"/>
      <c r="AB55" s="2019"/>
      <c r="AC55" s="2019"/>
      <c r="AD55" s="2812"/>
      <c r="AE55" s="2952"/>
      <c r="AF55" s="2831"/>
      <c r="AG55" s="2989"/>
      <c r="AH55" s="2733"/>
      <c r="AI55" s="920"/>
      <c r="AJ55" s="1041"/>
      <c r="AK55" s="939" t="s">
        <v>541</v>
      </c>
      <c r="AL55" s="2019"/>
      <c r="AM55" s="2019"/>
      <c r="AN55" s="2019"/>
      <c r="AO55" s="2019"/>
      <c r="AP55" s="2019"/>
      <c r="AQ55" s="2019"/>
      <c r="AR55" s="2019"/>
      <c r="AS55" s="2019"/>
      <c r="AT55" s="2019"/>
      <c r="AU55" s="2122"/>
      <c r="AV55" s="2019"/>
      <c r="AW55" s="2122"/>
      <c r="AX55" s="2019"/>
      <c r="AY55" s="2019"/>
      <c r="AZ55" s="2019"/>
      <c r="BA55" s="2019"/>
      <c r="BB55" s="2023"/>
      <c r="BC55" s="2880"/>
      <c r="BE55" s="1126"/>
      <c r="BF55" s="1126"/>
      <c r="BG55" s="1126"/>
      <c r="BH55" s="1126"/>
      <c r="BI55" s="1781">
        <v>11</v>
      </c>
    </row>
    <row customHeight="1" ht="11.549999999999999">
      <c r="A56" s="1989" t="s">
        <v>294</v>
      </c>
      <c r="B56" s="1989" t="s">
        <v>295</v>
      </c>
      <c r="C56" s="1989" t="s">
        <v>296</v>
      </c>
      <c r="D56" s="1989" t="s">
        <v>547</v>
      </c>
      <c r="E56" s="2885"/>
      <c r="F56" s="2885"/>
      <c r="G56" s="2885"/>
      <c r="H56" s="2885"/>
      <c r="I56" s="2912"/>
      <c r="J56" s="2912"/>
      <c r="K56" s="2882"/>
      <c r="L56" s="1990"/>
      <c r="P56" s="2883"/>
      <c r="Q56" s="2883"/>
      <c r="R56" s="983"/>
      <c r="S56" s="2969"/>
      <c r="T56" s="2988"/>
      <c r="U56" s="926"/>
      <c r="V56" s="2019"/>
      <c r="W56" s="2020" t="str">
        <f>Z52&amp;"-"&amp;AB52</f>
        <v>-</v>
      </c>
      <c r="X56" s="2019"/>
      <c r="Y56" s="2020" t="str">
        <f>AB52&amp;"-"&amp;AD52</f>
        <v>-да</v>
      </c>
      <c r="Z56" s="2019"/>
      <c r="AA56" s="2019"/>
      <c r="AB56" s="2019"/>
      <c r="AC56" s="2019"/>
      <c r="AD56" s="2738"/>
      <c r="AE56" s="938"/>
      <c r="AF56" s="940"/>
      <c r="AG56" s="1042" t="s">
        <v>523</v>
      </c>
      <c r="AH56" s="2019"/>
      <c r="AI56" s="2019"/>
      <c r="AJ56" s="2019"/>
      <c r="AK56" s="2019"/>
      <c r="AL56" s="2019"/>
      <c r="AM56" s="2019"/>
      <c r="AN56" s="2019"/>
      <c r="AO56" s="2019"/>
      <c r="AP56" s="2019"/>
      <c r="AQ56" s="2019"/>
      <c r="AR56" s="2019"/>
      <c r="AS56" s="2019"/>
      <c r="AT56" s="2019"/>
      <c r="AU56" s="2020" t="str">
        <f>AX52&amp;"-"&amp;AZ52</f>
        <v>-</v>
      </c>
      <c r="AV56" s="2019"/>
      <c r="AW56" s="2020" t="str">
        <f>AZ52&amp;"-"&amp;BB52</f>
        <v>-</v>
      </c>
      <c r="AX56" s="2019"/>
      <c r="AY56" s="2019"/>
      <c r="AZ56" s="2019"/>
      <c r="BA56" s="2019"/>
      <c r="BB56" s="2022" t="str">
        <f>BE52&amp;"-"&amp;BG52</f>
        <v>-</v>
      </c>
      <c r="BC56" s="2880"/>
      <c r="BE56" s="1126"/>
      <c r="BF56" s="1126" t="str">
        <f>IF(T56="","",T56)</f>
        <v/>
      </c>
      <c r="BG56" s="1126"/>
      <c r="BH56" s="1126"/>
      <c r="BI56" s="1781">
        <v>11</v>
      </c>
    </row>
    <row customHeight="1" ht="11.549999999999999">
      <c r="A57" s="1989" t="s">
        <v>294</v>
      </c>
      <c r="B57" s="1989" t="s">
        <v>295</v>
      </c>
      <c r="C57" s="1989" t="s">
        <v>296</v>
      </c>
      <c r="D57" s="1989" t="s">
        <v>547</v>
      </c>
      <c r="E57" s="2885"/>
      <c r="F57" s="2885"/>
      <c r="G57" s="2885"/>
      <c r="H57" s="2885"/>
      <c r="I57" s="2912"/>
      <c r="J57" s="2882"/>
      <c r="K57" s="1989"/>
      <c r="L57" s="1990"/>
      <c r="P57" s="2883"/>
      <c r="Q57" s="2883"/>
      <c r="R57" s="982"/>
      <c r="S57" s="1904"/>
      <c r="T57" s="913" t="s">
        <v>486</v>
      </c>
      <c r="U57" s="993"/>
      <c r="V57" s="993"/>
      <c r="W57" s="993"/>
      <c r="X57" s="993"/>
      <c r="Y57" s="993"/>
      <c r="Z57" s="993"/>
      <c r="AA57" s="993"/>
      <c r="AB57" s="993"/>
      <c r="AC57" s="950"/>
      <c r="AD57" s="2131"/>
      <c r="AE57" s="993"/>
      <c r="AF57" s="993"/>
      <c r="AG57" s="993"/>
      <c r="AH57" s="993"/>
      <c r="AI57" s="993"/>
      <c r="AJ57" s="993"/>
      <c r="AK57" s="993"/>
      <c r="AL57" s="993"/>
      <c r="AM57" s="993"/>
      <c r="AN57" s="993"/>
      <c r="AO57" s="993"/>
      <c r="AP57" s="993"/>
      <c r="AQ57" s="993"/>
      <c r="AR57" s="993"/>
      <c r="AS57" s="993"/>
      <c r="AT57" s="993"/>
      <c r="AU57" s="993"/>
      <c r="AV57" s="993"/>
      <c r="AW57" s="993"/>
      <c r="AX57" s="993"/>
      <c r="AY57" s="993"/>
      <c r="AZ57" s="993"/>
      <c r="BA57" s="993"/>
      <c r="BB57" s="950"/>
      <c r="BC57" s="2881"/>
      <c r="BE57" s="1126"/>
      <c r="BF57" s="1126" t="str">
        <f>IF(T57="","",T57)</f>
        <v>Добавить строку</v>
      </c>
      <c r="BG57" s="1126"/>
      <c r="BH57" s="1126"/>
      <c r="BI57" s="1781">
        <v>11</v>
      </c>
    </row>
    <row s="34658" customFormat="1" customHeight="1" ht="0">
      <c r="A58" s="1969" t="s">
        <v>294</v>
      </c>
      <c r="B58" s="1969" t="s">
        <v>295</v>
      </c>
      <c r="C58" s="1969" t="s">
        <v>296</v>
      </c>
      <c r="D58" s="1969" t="s">
        <v>547</v>
      </c>
      <c r="E58" s="2885"/>
      <c r="F58" s="2885"/>
      <c r="G58" s="2885"/>
      <c r="H58" s="2885"/>
      <c r="I58" s="2882"/>
      <c r="J58" s="1969"/>
      <c r="K58" s="1969"/>
      <c r="L58" s="1972"/>
      <c r="M58" s="1136"/>
      <c r="N58" s="1136"/>
      <c r="O58" s="1136"/>
      <c r="P58" s="2883"/>
      <c r="Q58" s="2107"/>
      <c r="R58" s="982"/>
      <c r="S58" s="2012"/>
      <c r="T58" s="2013"/>
      <c r="U58" s="2014"/>
      <c r="V58" s="2014"/>
      <c r="W58" s="2014"/>
      <c r="X58" s="2014"/>
      <c r="Y58" s="2014"/>
      <c r="Z58" s="2014"/>
      <c r="AA58" s="2014"/>
      <c r="AB58" s="2014"/>
      <c r="AC58" s="2014"/>
      <c r="AD58" s="2014"/>
      <c r="AE58" s="2014"/>
      <c r="AF58" s="2014"/>
      <c r="AG58" s="2014"/>
      <c r="AH58" s="2014"/>
      <c r="AI58" s="2014"/>
      <c r="AJ58" s="2014"/>
      <c r="AK58" s="2014"/>
      <c r="AL58" s="2014"/>
      <c r="AM58" s="2014"/>
      <c r="AN58" s="2014"/>
      <c r="AO58" s="2014"/>
      <c r="AP58" s="2014"/>
      <c r="AQ58" s="2014"/>
      <c r="AR58" s="2014"/>
      <c r="AS58" s="2014"/>
      <c r="AT58" s="2014"/>
      <c r="AU58" s="2014"/>
      <c r="AV58" s="2014"/>
      <c r="AW58" s="2014"/>
      <c r="AX58" s="2014"/>
      <c r="AY58" s="2014"/>
      <c r="AZ58" s="2014"/>
      <c r="BA58" s="2014"/>
      <c r="BB58" s="2014"/>
      <c r="BC58" s="2015"/>
      <c r="BE58" s="1126"/>
      <c r="BF58" s="1126" t="str">
        <f>IF(T58="","",T58)</f>
        <v/>
      </c>
      <c r="BG58" s="1126"/>
      <c r="BH58" s="1126"/>
      <c r="BI58" s="1137">
        <v>0</v>
      </c>
    </row>
    <row s="34658" customFormat="1" customHeight="1" ht="0">
      <c r="A59" s="1969" t="s">
        <v>294</v>
      </c>
      <c r="B59" s="1969" t="s">
        <v>295</v>
      </c>
      <c r="C59" s="1969" t="s">
        <v>296</v>
      </c>
      <c r="D59" s="1969" t="s">
        <v>547</v>
      </c>
      <c r="E59" s="2885"/>
      <c r="F59" s="2885"/>
      <c r="G59" s="2885"/>
      <c r="H59" s="2884"/>
      <c r="I59" s="1969"/>
      <c r="J59" s="1969"/>
      <c r="K59" s="1969"/>
      <c r="L59" s="1972"/>
      <c r="M59" s="1941"/>
      <c r="N59" s="1941"/>
      <c r="O59" s="1144"/>
      <c r="P59" s="1006"/>
      <c r="Q59" s="1970"/>
      <c r="R59" s="2027"/>
      <c r="S59" s="2012"/>
      <c r="T59" s="2013"/>
      <c r="U59" s="2014"/>
      <c r="V59" s="2014"/>
      <c r="W59" s="2014"/>
      <c r="X59" s="2014"/>
      <c r="Y59" s="2014"/>
      <c r="Z59" s="2014"/>
      <c r="AA59" s="2014"/>
      <c r="AB59" s="2014"/>
      <c r="AC59" s="2014"/>
      <c r="AD59" s="2014"/>
      <c r="AE59" s="2014"/>
      <c r="AF59" s="2014"/>
      <c r="AG59" s="2014"/>
      <c r="AH59" s="2014"/>
      <c r="AI59" s="2014"/>
      <c r="AJ59" s="2014"/>
      <c r="AK59" s="2014"/>
      <c r="AL59" s="2014"/>
      <c r="AM59" s="2014"/>
      <c r="AN59" s="2014"/>
      <c r="AO59" s="2014"/>
      <c r="AP59" s="2014"/>
      <c r="AQ59" s="2014"/>
      <c r="AR59" s="2014"/>
      <c r="AS59" s="2014"/>
      <c r="AT59" s="2014"/>
      <c r="AU59" s="2014"/>
      <c r="AV59" s="2014"/>
      <c r="AW59" s="2014"/>
      <c r="AX59" s="2014"/>
      <c r="AY59" s="2014"/>
      <c r="AZ59" s="2014"/>
      <c r="BA59" s="2014"/>
      <c r="BB59" s="2014"/>
      <c r="BC59" s="2015"/>
      <c r="BE59" s="1126"/>
      <c r="BF59" s="1126" t="str">
        <f>IF(T59="","",T59)</f>
        <v/>
      </c>
      <c r="BG59" s="1126"/>
      <c r="BH59" s="1126"/>
      <c r="BI59" s="1137">
        <v>0</v>
      </c>
    </row>
    <row s="34658" customFormat="1" customHeight="1" ht="0">
      <c r="A60" s="1969" t="s">
        <v>294</v>
      </c>
      <c r="B60" s="1969" t="s">
        <v>295</v>
      </c>
      <c r="C60" s="1969" t="s">
        <v>296</v>
      </c>
      <c r="D60" s="1940"/>
      <c r="E60" s="2885"/>
      <c r="F60" s="2885"/>
      <c r="G60" s="2884"/>
      <c r="H60" s="1940"/>
      <c r="I60" s="1940"/>
      <c r="J60" s="1940"/>
      <c r="K60" s="1940"/>
      <c r="L60" s="2120"/>
      <c r="M60" s="1941"/>
      <c r="N60" s="1941"/>
      <c r="P60" s="1942"/>
      <c r="Q60" s="1943"/>
      <c r="R60" s="1942"/>
      <c r="S60" s="1948"/>
      <c r="T60" s="1951"/>
      <c r="U60" s="1950"/>
      <c r="V60" s="1950"/>
      <c r="W60" s="1950"/>
      <c r="X60" s="1950"/>
      <c r="Y60" s="1950"/>
      <c r="Z60" s="1950"/>
      <c r="AA60" s="1950"/>
      <c r="AB60" s="1950"/>
      <c r="AC60" s="1950"/>
      <c r="AD60" s="1950"/>
      <c r="AE60" s="1950"/>
      <c r="AF60" s="1950"/>
      <c r="AG60" s="1950"/>
      <c r="AH60" s="1950"/>
      <c r="AI60" s="1950"/>
      <c r="AJ60" s="1950"/>
      <c r="AK60" s="1950"/>
      <c r="AL60" s="1950"/>
      <c r="AM60" s="1950"/>
      <c r="AN60" s="1950"/>
      <c r="AO60" s="1950"/>
      <c r="AP60" s="1950"/>
      <c r="AQ60" s="1950"/>
      <c r="AR60" s="1950"/>
      <c r="AS60" s="1950"/>
      <c r="AT60" s="1950"/>
      <c r="AU60" s="1950"/>
      <c r="AV60" s="1950"/>
      <c r="AW60" s="1950"/>
      <c r="AX60" s="1950"/>
      <c r="AY60" s="1950"/>
      <c r="AZ60" s="1950"/>
      <c r="BA60" s="1950"/>
      <c r="BB60" s="1950"/>
      <c r="BC60" s="1950"/>
      <c r="BE60" s="1415"/>
      <c r="BF60" s="1415" t="str">
        <f>IF(T60="","",T60)</f>
        <v/>
      </c>
      <c r="BG60" s="1415"/>
      <c r="BH60" s="1415"/>
      <c r="BI60" s="1144">
        <v>0</v>
      </c>
    </row>
    <row s="34658" customFormat="1" customHeight="1" ht="0">
      <c r="A61" s="1969" t="s">
        <v>294</v>
      </c>
      <c r="B61" s="1969" t="s">
        <v>295</v>
      </c>
      <c r="C61" s="1940"/>
      <c r="D61" s="1940"/>
      <c r="E61" s="2885"/>
      <c r="F61" s="2884"/>
      <c r="G61" s="1940"/>
      <c r="H61" s="1940"/>
      <c r="I61" s="1940"/>
      <c r="J61" s="1940"/>
      <c r="K61" s="1940"/>
      <c r="L61" s="2120"/>
      <c r="M61" s="1947"/>
      <c r="N61" s="1947"/>
      <c r="P61" s="1942"/>
      <c r="Q61" s="1943"/>
      <c r="R61" s="1942"/>
      <c r="S61" s="1948"/>
      <c r="T61" s="1951" t="s">
        <v>433</v>
      </c>
      <c r="U61" s="1950"/>
      <c r="V61" s="1950"/>
      <c r="W61" s="1950"/>
      <c r="X61" s="1950"/>
      <c r="Y61" s="1950"/>
      <c r="Z61" s="1950"/>
      <c r="AA61" s="1950"/>
      <c r="AB61" s="1950"/>
      <c r="AC61" s="1950"/>
      <c r="AD61" s="1950"/>
      <c r="AE61" s="1950"/>
      <c r="AF61" s="1950"/>
      <c r="AG61" s="1950"/>
      <c r="AH61" s="1950"/>
      <c r="AI61" s="1950"/>
      <c r="AJ61" s="1950"/>
      <c r="AK61" s="1950"/>
      <c r="AL61" s="1950"/>
      <c r="AM61" s="1950"/>
      <c r="AN61" s="1950"/>
      <c r="AO61" s="1950"/>
      <c r="AP61" s="1950"/>
      <c r="AQ61" s="1950"/>
      <c r="AR61" s="1950"/>
      <c r="AS61" s="1950"/>
      <c r="AT61" s="1950"/>
      <c r="AU61" s="1950"/>
      <c r="AV61" s="1950"/>
      <c r="AW61" s="1950"/>
      <c r="AX61" s="1950"/>
      <c r="AY61" s="1950"/>
      <c r="AZ61" s="1950"/>
      <c r="BA61" s="1950"/>
      <c r="BB61" s="1950"/>
      <c r="BC61" s="1950"/>
      <c r="BE61" s="1415"/>
      <c r="BF61" s="1415" t="str">
        <f>IF(T61="","",T61)</f>
        <v>Добавить централизованную систему для дифференциации</v>
      </c>
      <c r="BG61" s="1415"/>
      <c r="BH61" s="1415"/>
      <c r="BI61" s="1144">
        <v>0</v>
      </c>
    </row>
    <row s="34658" customFormat="1" customHeight="1" ht="0">
      <c r="A62" s="1969" t="s">
        <v>294</v>
      </c>
      <c r="B62" s="1969"/>
      <c r="C62" s="1969"/>
      <c r="D62" s="1969"/>
      <c r="E62" s="2884"/>
      <c r="F62" s="1969"/>
      <c r="G62" s="1969"/>
      <c r="H62" s="1969"/>
      <c r="I62" s="1969"/>
      <c r="J62" s="1969"/>
      <c r="K62" s="1969"/>
      <c r="L62" s="1972"/>
      <c r="M62" s="1947"/>
      <c r="N62" s="1947"/>
      <c r="O62" s="1144"/>
      <c r="P62" s="1006"/>
      <c r="Q62" s="1970"/>
      <c r="R62" s="1006"/>
      <c r="S62" s="1948"/>
      <c r="T62" s="1951" t="s">
        <v>434</v>
      </c>
      <c r="U62" s="1950"/>
      <c r="V62" s="1950"/>
      <c r="W62" s="1950"/>
      <c r="X62" s="1950"/>
      <c r="Y62" s="1950"/>
      <c r="Z62" s="1950"/>
      <c r="AA62" s="1950"/>
      <c r="AB62" s="1950"/>
      <c r="AC62" s="1950"/>
      <c r="AD62" s="1950"/>
      <c r="AE62" s="1950"/>
      <c r="AF62" s="1950"/>
      <c r="AG62" s="1950"/>
      <c r="AH62" s="1950"/>
      <c r="AI62" s="1950"/>
      <c r="AJ62" s="1950"/>
      <c r="AK62" s="1950"/>
      <c r="AL62" s="1950"/>
      <c r="AM62" s="1950"/>
      <c r="AN62" s="1950"/>
      <c r="AO62" s="1950"/>
      <c r="AP62" s="1950"/>
      <c r="AQ62" s="1950"/>
      <c r="AR62" s="1950"/>
      <c r="AS62" s="1950"/>
      <c r="AT62" s="1950"/>
      <c r="AU62" s="1950"/>
      <c r="AV62" s="1950"/>
      <c r="AW62" s="1950"/>
      <c r="AX62" s="1950"/>
      <c r="AY62" s="1950"/>
      <c r="AZ62" s="1950"/>
      <c r="BA62" s="1950"/>
      <c r="BB62" s="1950"/>
      <c r="BC62" s="1950"/>
      <c r="BE62" s="1126"/>
      <c r="BF62" s="1126" t="str">
        <f>IF(T62="","",T62)</f>
        <v>Добавить территорию для дифференциации</v>
      </c>
      <c r="BG62" s="1126"/>
      <c r="BH62" s="1126"/>
      <c r="BI62" s="1137">
        <v>0</v>
      </c>
    </row>
    <row s="34658" customFormat="1" customHeight="1" ht="0">
      <c r="A63" s="1940"/>
      <c r="B63" s="1940"/>
      <c r="C63" s="1940"/>
      <c r="D63" s="1940"/>
      <c r="E63" s="1969"/>
      <c r="F63" s="1940"/>
      <c r="G63" s="1940"/>
      <c r="H63" s="1940"/>
      <c r="I63" s="1940"/>
      <c r="J63" s="1940"/>
      <c r="K63" s="1940"/>
      <c r="L63" s="2120"/>
      <c r="M63" s="1947"/>
      <c r="N63" s="1947"/>
      <c r="P63" s="1942"/>
      <c r="Q63" s="1943"/>
      <c r="R63" s="1942"/>
      <c r="S63" s="1948"/>
      <c r="T63" s="1951" t="s">
        <v>466</v>
      </c>
      <c r="U63" s="1950"/>
      <c r="V63" s="1950"/>
      <c r="W63" s="1950"/>
      <c r="X63" s="1950"/>
      <c r="Y63" s="1950"/>
      <c r="Z63" s="1950"/>
      <c r="AA63" s="1950"/>
      <c r="AB63" s="1950"/>
      <c r="AC63" s="1950"/>
      <c r="AD63" s="1950"/>
      <c r="AE63" s="1950"/>
      <c r="AF63" s="1950"/>
      <c r="AG63" s="1950"/>
      <c r="AH63" s="1950"/>
      <c r="AI63" s="1950"/>
      <c r="AJ63" s="1950"/>
      <c r="AK63" s="1950"/>
      <c r="AL63" s="1950"/>
      <c r="AM63" s="1950"/>
      <c r="AN63" s="1950"/>
      <c r="AO63" s="1950"/>
      <c r="AP63" s="1950"/>
      <c r="AQ63" s="1950"/>
      <c r="AR63" s="1950"/>
      <c r="AS63" s="1950"/>
      <c r="AT63" s="1950"/>
      <c r="AU63" s="1950"/>
      <c r="AV63" s="1950"/>
      <c r="AW63" s="1950"/>
      <c r="AX63" s="1950"/>
      <c r="AY63" s="1950"/>
      <c r="AZ63" s="1950"/>
      <c r="BA63" s="1950"/>
      <c r="BB63" s="1950"/>
      <c r="BC63" s="1950"/>
      <c r="BE63" s="1415"/>
      <c r="BF63" s="1415" t="str">
        <f>IF(T63="","",T63)</f>
        <v>Добавить наименование тарифа</v>
      </c>
      <c r="BG63" s="1415"/>
      <c r="BH63" s="1415"/>
      <c r="BI63" s="1144">
        <v>0</v>
      </c>
    </row>
    <row customHeight="1" ht="11.549999999999999">
      <c r="M64" s="1786"/>
      <c r="N64" s="1786"/>
      <c r="O64" s="1163"/>
      <c r="P64" s="1786"/>
      <c r="Q64" s="1786"/>
      <c r="R64" s="1781"/>
      <c r="S64" s="1781"/>
      <c r="BD64" s="1781"/>
      <c r="BE64" s="1781"/>
      <c r="BF64" s="1781"/>
      <c r="BG64" s="1781"/>
      <c r="BH64" s="1781"/>
      <c r="BI64" s="1781">
        <v>11</v>
      </c>
    </row>
    <row customHeight="1" ht="14.699999999999998">
      <c r="O65" s="1163"/>
      <c r="S65" s="1879"/>
      <c r="T65" s="2911"/>
      <c r="U65" s="2911"/>
      <c r="V65" s="2911"/>
      <c r="W65" s="2911"/>
      <c r="X65" s="2911"/>
      <c r="Y65" s="2911"/>
      <c r="Z65" s="2911"/>
      <c r="AA65" s="2911"/>
      <c r="AB65" s="2911"/>
      <c r="AC65" s="2911"/>
      <c r="AD65" s="2911"/>
      <c r="AE65" s="2911"/>
      <c r="AF65" s="2911"/>
      <c r="AG65" s="2911"/>
      <c r="AH65" s="2911"/>
      <c r="AI65" s="2911"/>
      <c r="AJ65" s="2911"/>
      <c r="AK65" s="2911"/>
      <c r="AL65" s="2911"/>
      <c r="AM65" s="2911"/>
      <c r="AN65" s="2911"/>
      <c r="AO65" s="2911"/>
      <c r="AP65" s="2911"/>
      <c r="AQ65" s="2911"/>
      <c r="AR65" s="2911"/>
      <c r="AS65" s="2911"/>
      <c r="AT65" s="2911"/>
      <c r="AU65" s="2911"/>
      <c r="AV65" s="2911"/>
      <c r="AW65" s="2911"/>
      <c r="AX65" s="2911"/>
      <c r="AY65" s="2911"/>
      <c r="AZ65" s="2911"/>
      <c r="BA65" s="2911"/>
      <c r="BB65" s="2911"/>
      <c r="BC65" s="2911"/>
      <c r="BI65" s="1781">
        <v>14</v>
      </c>
    </row>
    <row customHeight="1" ht="14.699999999999998">
      <c r="O66" s="1163"/>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c r="AS66" s="2106"/>
      <c r="AT66" s="2106"/>
      <c r="AU66" s="2106"/>
      <c r="AV66" s="2106"/>
      <c r="AW66" s="2106"/>
      <c r="AX66" s="2106"/>
      <c r="AY66" s="2106"/>
      <c r="AZ66" s="2106"/>
      <c r="BA66" s="2106"/>
      <c r="BB66" s="2106"/>
      <c r="BC66" s="2106"/>
      <c r="BI66" s="1781">
        <v>14</v>
      </c>
    </row>
    <row customHeight="1" ht="14.699999999999998">
      <c r="O67" s="1163"/>
      <c r="S67" s="1879"/>
      <c r="T67" s="2911"/>
      <c r="U67" s="2911"/>
      <c r="V67" s="2911"/>
      <c r="W67" s="2911"/>
      <c r="X67" s="2911"/>
      <c r="Y67" s="2911"/>
      <c r="Z67" s="2911"/>
      <c r="AA67" s="2911"/>
      <c r="AB67" s="2911"/>
      <c r="AC67" s="2911"/>
      <c r="AD67" s="2911"/>
      <c r="AE67" s="2911"/>
      <c r="AF67" s="2911"/>
      <c r="AG67" s="2911"/>
      <c r="AH67" s="2911"/>
      <c r="AI67" s="2911"/>
      <c r="AJ67" s="2911"/>
      <c r="AK67" s="2911"/>
      <c r="AL67" s="2911"/>
      <c r="AM67" s="2911"/>
      <c r="AN67" s="2911"/>
      <c r="AO67" s="2911"/>
      <c r="AP67" s="2911"/>
      <c r="AQ67" s="2911"/>
      <c r="AR67" s="2911"/>
      <c r="AS67" s="2911"/>
      <c r="AT67" s="2911"/>
      <c r="AU67" s="2911"/>
      <c r="AV67" s="2911"/>
      <c r="AW67" s="2911"/>
      <c r="AX67" s="2911"/>
      <c r="AY67" s="2911"/>
      <c r="AZ67" s="2911"/>
      <c r="BA67" s="2911"/>
      <c r="BB67" s="2911"/>
      <c r="BC67" s="2911"/>
      <c r="BI67" s="1781">
        <v>14</v>
      </c>
    </row>
    <row customHeight="1" ht="14.699999999999998">
      <c r="O68" s="1163"/>
      <c r="BI68" s="1781">
        <v>14</v>
      </c>
    </row>
    <row customHeight="1" ht="14.25" hidden="1">
      <c r="A69" s="1786" t="s">
        <v>82</v>
      </c>
      <c r="B69" s="1786">
        <v>0</v>
      </c>
      <c r="C69" s="1786">
        <v>0</v>
      </c>
      <c r="D69" s="1786">
        <v>0</v>
      </c>
      <c r="E69" s="1786">
        <v>0</v>
      </c>
      <c r="F69" s="1786">
        <v>0</v>
      </c>
      <c r="G69" s="1786">
        <v>0</v>
      </c>
      <c r="H69" s="1786">
        <v>0</v>
      </c>
      <c r="I69" s="1786">
        <v>0</v>
      </c>
      <c r="J69" s="1786">
        <v>0</v>
      </c>
      <c r="K69" s="1786">
        <v>0</v>
      </c>
      <c r="L69" s="2104">
        <v>0</v>
      </c>
      <c r="M69" s="1988">
        <v>0</v>
      </c>
      <c r="N69" s="1988">
        <v>0</v>
      </c>
      <c r="O69" s="1988">
        <v>0</v>
      </c>
      <c r="P69" s="1988">
        <v>0</v>
      </c>
      <c r="Q69" s="1997">
        <v>0</v>
      </c>
      <c r="R69" s="970">
        <v>3</v>
      </c>
      <c r="S69" s="1207">
        <v>12</v>
      </c>
      <c r="T69" s="1781">
        <v>31</v>
      </c>
      <c r="U69" s="1781">
        <v>0</v>
      </c>
      <c r="V69" s="1781">
        <v>0</v>
      </c>
      <c r="W69" s="1781">
        <v>0</v>
      </c>
      <c r="X69" s="1781">
        <v>0</v>
      </c>
      <c r="Y69" s="1781">
        <v>0</v>
      </c>
      <c r="Z69" s="1781">
        <v>0</v>
      </c>
      <c r="AA69" s="1781">
        <v>0</v>
      </c>
      <c r="AB69" s="1781">
        <v>0</v>
      </c>
      <c r="AC69" s="1781">
        <v>0</v>
      </c>
      <c r="AD69" s="1781">
        <v>3</v>
      </c>
      <c r="AE69" s="1781">
        <v>3</v>
      </c>
      <c r="AF69" s="1781">
        <v>3</v>
      </c>
      <c r="AG69" s="1781">
        <v>24</v>
      </c>
      <c r="AH69" s="1781">
        <v>3</v>
      </c>
      <c r="AI69" s="1781">
        <v>3</v>
      </c>
      <c r="AJ69" s="1781">
        <v>3</v>
      </c>
      <c r="AK69" s="1781">
        <v>24</v>
      </c>
      <c r="AL69" s="1781">
        <v>3</v>
      </c>
      <c r="AM69" s="1781">
        <v>3</v>
      </c>
      <c r="AN69" s="1781">
        <v>3</v>
      </c>
      <c r="AO69" s="1781">
        <v>18</v>
      </c>
      <c r="AP69" s="1781">
        <v>3</v>
      </c>
      <c r="AQ69" s="1781">
        <v>3</v>
      </c>
      <c r="AR69" s="1781">
        <v>3</v>
      </c>
      <c r="AS69" s="1781">
        <v>18</v>
      </c>
      <c r="AT69" s="1781">
        <v>21</v>
      </c>
      <c r="AU69" s="1781">
        <v>21</v>
      </c>
      <c r="AV69" s="1781">
        <v>21</v>
      </c>
      <c r="AW69" s="1781">
        <v>21</v>
      </c>
      <c r="AX69" s="1781">
        <v>11</v>
      </c>
      <c r="AY69" s="1781">
        <v>3</v>
      </c>
      <c r="AZ69" s="1781">
        <v>11</v>
      </c>
      <c r="BA69" s="1781">
        <v>0</v>
      </c>
      <c r="BB69" s="1781">
        <v>4</v>
      </c>
      <c r="BC69" s="1781">
        <v>115</v>
      </c>
      <c r="BD69" s="1137">
        <v>10</v>
      </c>
      <c r="BE69" s="1137">
        <v>10</v>
      </c>
      <c r="BF69" s="1137">
        <v>10</v>
      </c>
      <c r="BG69" s="1137">
        <v>10</v>
      </c>
      <c r="BH69" s="1137">
        <v>10</v>
      </c>
      <c r="BI69" s="1781">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88EE64-87AF-7212-E8E3-AEB0519A353B}" mc:Ignorable="x14ac xr xr2 xr3">
  <sheetPr>
    <tabColor rgb="FFCCCCFF"/>
    <pageSetUpPr fitToPage="1"/>
  </sheetPr>
  <dimension ref="A1:AC35"/>
  <sheetViews>
    <sheetView showGridLines="0" zoomScale="90" workbookViewId="0">
      <pane xSplit="6" ySplit="11" topLeftCell="G12" activePane="bottomRight" state="frozen"/>
      <selection pane="bottomLeft" activeCell="A12" sqref="A12"/>
      <selection pane="topRight" activeCell="G1" sqref="G1"/>
      <selection pane="bottomRight" activeCell="G18" sqref="G18"/>
    </sheetView>
  </sheetViews>
  <sheetFormatPr defaultColWidth="9.140625" customHeight="1" defaultRowHeight="14.25"/>
  <cols>
    <col min="1" max="1" style="34580" width="8.00390625" hidden="1" customWidth="1"/>
    <col min="2" max="2" style="34657" width="6.00390625" hidden="1" customWidth="1"/>
    <col min="3" max="3" style="34580" width="3.00390625" customWidth="1"/>
    <col min="4" max="4" style="34756" width="3.00390625" customWidth="1"/>
    <col min="5" max="5" style="34580" width="6.00390625" customWidth="1"/>
    <col min="6" max="6" style="34580" width="2.7109375" hidden="1" customWidth="1"/>
    <col min="7" max="7" style="34580" width="46.7109375" customWidth="1"/>
    <col min="8" max="8" style="34580" width="42.00390625" customWidth="1"/>
    <col min="9" max="9" style="34580" width="14.00390625" customWidth="1"/>
    <col min="10" max="10" style="34757" width="3.00390625" customWidth="1"/>
    <col min="11" max="13" style="34757" width="9.140625" hidden="1"/>
    <col min="14" max="14" style="34757" width="25.7109375" hidden="1" customWidth="1"/>
    <col min="15" max="15" style="34757" width="14.421875" hidden="1" customWidth="1"/>
    <col min="16" max="19" style="34758" width="9.140625" hidden="1"/>
    <col min="20" max="27" style="34580" width="9.140625" hidden="1"/>
    <col min="28" max="28" style="34580" width="8.00390625" customWidth="1"/>
    <col min="29" max="29" style="34580" width="9.140625" hidden="1"/>
  </cols>
  <sheetData>
    <row s="34658" customFormat="1" customHeight="1" ht="5.25" hidden="1">
      <c r="A1" s="1122"/>
      <c r="B1" s="1137"/>
      <c r="C1" s="1137"/>
      <c r="D1" s="847"/>
      <c r="F1" s="1137"/>
      <c r="G1" s="873" t="s">
        <v>83</v>
      </c>
      <c r="H1" s="1120" t="s">
        <v>84</v>
      </c>
      <c r="I1" s="853" t="s">
        <v>85</v>
      </c>
      <c r="J1" s="873" t="s">
        <v>83</v>
      </c>
      <c r="K1" s="873"/>
      <c r="L1" s="873"/>
      <c r="M1" s="873"/>
      <c r="N1" s="874"/>
      <c r="O1" s="873"/>
      <c r="P1" s="873"/>
      <c r="Q1" s="873"/>
      <c r="R1" s="873"/>
      <c r="S1" s="873"/>
      <c r="T1" s="853"/>
      <c r="U1" s="853"/>
      <c r="V1" s="853"/>
      <c r="W1" s="853"/>
      <c r="X1" s="853"/>
      <c r="Y1" s="853"/>
      <c r="Z1" s="853"/>
      <c r="AA1" s="853"/>
      <c r="AB1" s="853"/>
      <c r="AC1" s="778" t="s">
        <v>14</v>
      </c>
    </row>
    <row s="34667" customFormat="1" customHeight="1" ht="11.25">
      <c r="A2" s="1457"/>
      <c r="B2" s="854"/>
      <c r="C2" s="854"/>
      <c r="D2" s="855"/>
      <c r="E2" s="854"/>
      <c r="F2" s="854"/>
      <c r="G2" s="854"/>
      <c r="H2" s="854"/>
      <c r="I2" s="854"/>
      <c r="J2" s="873"/>
      <c r="K2" s="873"/>
      <c r="L2" s="873"/>
      <c r="M2" s="873"/>
      <c r="N2" s="874"/>
      <c r="O2" s="873"/>
      <c r="P2" s="856"/>
      <c r="Q2" s="856"/>
      <c r="R2" s="856"/>
      <c r="S2" s="856"/>
      <c r="T2" s="855"/>
      <c r="U2" s="855"/>
      <c r="V2" s="855"/>
      <c r="W2" s="855"/>
      <c r="X2" s="855"/>
      <c r="Y2" s="855"/>
      <c r="Z2" s="855"/>
      <c r="AA2" s="855"/>
      <c r="AB2" s="855"/>
      <c r="AC2" s="857">
        <v>11</v>
      </c>
    </row>
    <row s="34673" customFormat="1" customHeight="1" ht="3">
      <c r="A3" s="1384"/>
      <c r="B3" s="1043"/>
      <c r="C3" s="1384"/>
      <c r="D3" s="790"/>
      <c r="E3" s="729"/>
      <c r="F3" s="1135"/>
      <c r="G3" s="729"/>
      <c r="H3" s="729"/>
      <c r="I3" s="792"/>
      <c r="J3" s="873"/>
      <c r="K3" s="781"/>
      <c r="L3" s="781"/>
      <c r="M3" s="781"/>
      <c r="N3" s="852"/>
      <c r="O3" s="781"/>
      <c r="P3" s="851"/>
      <c r="Q3" s="851"/>
      <c r="R3" s="851"/>
      <c r="S3" s="851"/>
      <c r="AC3" s="742">
        <v>3</v>
      </c>
    </row>
    <row s="34673" customFormat="1" customHeight="1" ht="27.299999999999997">
      <c r="A4" s="1384"/>
      <c r="B4" s="1043"/>
      <c r="C4" s="1384"/>
      <c r="D4" s="790"/>
      <c r="E4" s="2726" t="str">
        <f>NameTemplatesInListMO</f>
        <v>Перечень муниципальных районов и муниципальных образований (территорий действия тарифа)</v>
      </c>
      <c r="F4" s="2726"/>
      <c r="G4" s="2726"/>
      <c r="H4" s="2726"/>
      <c r="I4" s="2726"/>
      <c r="J4" s="873"/>
      <c r="K4" s="781"/>
      <c r="L4" s="781"/>
      <c r="M4" s="781"/>
      <c r="N4" s="852"/>
      <c r="O4" s="781"/>
      <c r="P4" s="851"/>
      <c r="Q4" s="851"/>
      <c r="R4" s="851"/>
      <c r="S4" s="851"/>
      <c r="AC4" s="742">
        <v>26</v>
      </c>
    </row>
    <row s="34673" customFormat="1" customHeight="1" ht="3">
      <c r="A5" s="1384"/>
      <c r="B5" s="1043"/>
      <c r="C5" s="1384"/>
      <c r="D5" s="790"/>
      <c r="E5" s="729"/>
      <c r="F5" s="1135"/>
      <c r="G5" s="793"/>
      <c r="H5" s="793"/>
      <c r="I5" s="794"/>
      <c r="J5" s="781"/>
      <c r="K5" s="781"/>
      <c r="L5" s="781"/>
      <c r="M5" s="781"/>
      <c r="N5" s="852"/>
      <c r="O5" s="781"/>
      <c r="P5" s="851"/>
      <c r="Q5" s="851"/>
      <c r="R5" s="851"/>
      <c r="S5" s="851"/>
      <c r="AC5" s="742">
        <v>3</v>
      </c>
    </row>
    <row s="34673" customFormat="1" customHeight="1" ht="20.25" hidden="1">
      <c r="A6" s="1463"/>
      <c r="B6" s="1459"/>
      <c r="C6" s="795"/>
      <c r="D6" s="790"/>
      <c r="E6" s="1405"/>
      <c r="F6" s="1405"/>
      <c r="G6" s="793"/>
      <c r="H6" s="796"/>
      <c r="I6" s="796"/>
      <c r="J6" s="781"/>
      <c r="K6" s="781"/>
      <c r="L6" s="781"/>
      <c r="M6" s="781"/>
      <c r="N6" s="852"/>
      <c r="O6" s="781"/>
      <c r="P6" s="851"/>
      <c r="Q6" s="851"/>
      <c r="R6" s="851"/>
      <c r="S6" s="851"/>
      <c r="AC6" s="742">
        <v>0</v>
      </c>
    </row>
    <row customHeight="1" ht="25.5" hidden="1">
      <c r="AC7" s="709">
        <v>0</v>
      </c>
    </row>
    <row s="34673" customFormat="1" customHeight="1" ht="14.699999999999998">
      <c r="A8" s="1384"/>
      <c r="B8" s="1043"/>
      <c r="C8" s="1384"/>
      <c r="D8" s="790"/>
      <c r="E8" s="2727" t="s">
        <v>86</v>
      </c>
      <c r="F8" s="2728"/>
      <c r="G8" s="2729"/>
      <c r="H8" s="2730" t="s">
        <v>87</v>
      </c>
      <c r="I8" s="2730"/>
      <c r="J8" s="781"/>
      <c r="K8" s="781"/>
      <c r="L8" s="781"/>
      <c r="M8" s="781"/>
      <c r="N8" s="852"/>
      <c r="O8" s="781"/>
      <c r="P8" s="851"/>
      <c r="Q8" s="851"/>
      <c r="R8" s="851"/>
      <c r="S8" s="851"/>
      <c r="AC8" s="742">
        <v>14</v>
      </c>
    </row>
    <row s="34673" customFormat="1" customHeight="1" ht="21">
      <c r="A9" s="1384"/>
      <c r="B9" s="1043"/>
      <c r="C9" s="1384"/>
      <c r="D9" s="790"/>
      <c r="E9" s="1403" t="s">
        <v>88</v>
      </c>
      <c r="F9" s="1403"/>
      <c r="G9" s="798" t="s">
        <v>89</v>
      </c>
      <c r="H9" s="798" t="s">
        <v>89</v>
      </c>
      <c r="I9" s="798" t="s">
        <v>85</v>
      </c>
      <c r="J9" s="781"/>
      <c r="K9" s="781"/>
      <c r="L9" s="781"/>
      <c r="M9" s="781"/>
      <c r="N9" s="852"/>
      <c r="O9" s="781"/>
      <c r="P9" s="851"/>
      <c r="Q9" s="851"/>
      <c r="R9" s="851"/>
      <c r="S9" s="851"/>
      <c r="AC9" s="742">
        <v>20</v>
      </c>
    </row>
    <row customHeight="1" ht="11.549999999999999">
      <c r="D10" s="802"/>
      <c r="E10" s="1404" t="s">
        <v>90</v>
      </c>
      <c r="F10" s="1404"/>
      <c r="G10" s="849" t="s">
        <v>91</v>
      </c>
      <c r="H10" s="849" t="s">
        <v>92</v>
      </c>
      <c r="I10" s="849" t="s">
        <v>93</v>
      </c>
      <c r="J10" s="812"/>
      <c r="K10" s="812"/>
      <c r="L10" s="812"/>
      <c r="M10" s="812"/>
      <c r="N10" s="797"/>
      <c r="O10" s="812"/>
      <c r="P10" s="850"/>
      <c r="Q10" s="850"/>
      <c r="R10" s="850"/>
      <c r="S10" s="850"/>
      <c r="AC10" s="709">
        <v>11</v>
      </c>
    </row>
    <row s="34673" customFormat="1" customHeight="1" ht="1.05">
      <c r="A11" s="1384"/>
      <c r="B11" s="1043"/>
      <c r="C11" s="1384"/>
      <c r="D11" s="790"/>
      <c r="E11" s="1416"/>
      <c r="F11" s="1416"/>
      <c r="G11" s="799"/>
      <c r="H11" s="799"/>
      <c r="I11" s="801"/>
      <c r="J11" s="875" t="s">
        <v>94</v>
      </c>
      <c r="K11" s="781"/>
      <c r="L11" s="781"/>
      <c r="M11" s="781" t="s">
        <v>95</v>
      </c>
      <c r="N11" s="852" t="s">
        <v>96</v>
      </c>
      <c r="O11" s="781" t="s">
        <v>97</v>
      </c>
      <c r="P11" s="851"/>
      <c r="Q11" s="851"/>
      <c r="R11" s="851"/>
      <c r="S11" s="851"/>
      <c r="AC11" s="742">
        <v>1</v>
      </c>
    </row>
    <row s="34673" customFormat="1" customHeight="1" ht="15">
      <c r="A12" s="2725">
        <v>1</v>
      </c>
      <c r="B12" s="1043"/>
      <c r="C12" s="1384"/>
      <c r="D12" s="1408"/>
      <c r="E12" s="845">
        <f>A12</f>
        <v>1</v>
      </c>
      <c r="F12" s="1428" t="s">
        <v>98</v>
      </c>
      <c r="G12" s="1166" t="str">
        <f>"Территория "&amp;E12</f>
        <v>Территория 1</v>
      </c>
      <c r="H12" s="1418"/>
      <c r="I12" s="1418"/>
      <c r="J12" s="1415"/>
      <c r="K12" s="1126"/>
      <c r="L12" s="1126"/>
      <c r="M12" s="1126"/>
      <c r="N12" s="852"/>
      <c r="O12" s="1126"/>
      <c r="P12" s="851"/>
      <c r="Q12" s="851"/>
      <c r="R12" s="851"/>
      <c r="S12" s="851"/>
      <c r="AC12" s="1133">
        <v>14</v>
      </c>
    </row>
    <row s="34718" customFormat="1" customHeight="1" ht="15.75">
      <c r="A13" s="2725"/>
      <c r="B13" s="1043">
        <v>1</v>
      </c>
      <c r="C13" s="1043"/>
      <c r="D13" s="1426"/>
      <c r="E13" s="1406" t="str">
        <f>A12&amp;"."&amp;B13</f>
        <v>1.1</v>
      </c>
      <c r="F13" s="1421" t="s">
        <v>93</v>
      </c>
      <c r="G13" s="1419" t="s">
        <v>99</v>
      </c>
      <c r="H13" s="1419" t="s">
        <v>99</v>
      </c>
      <c r="I13" s="1417" t="s">
        <v>100</v>
      </c>
      <c r="J13" s="1126">
        <f>MERGEVALUE(G13)</f>
      </c>
      <c r="K13" s="1137"/>
      <c r="L13" s="1137"/>
      <c r="M13" s="1126" t="str">
        <f t="array" ref="M13:M13">IF(ISERROR(MATCH(MID(N13,1,250),MID(note_ter,1,250),0)),"n","y")</f>
        <v>n</v>
      </c>
      <c r="N13" s="1137"/>
      <c r="O13" s="1126" t="str">
        <f>H13&amp;"("&amp;I13&amp;")"</f>
        <v>Город Благовещенск(10701000)</v>
      </c>
      <c r="P13" s="1043"/>
      <c r="Q13" s="1043"/>
      <c r="R13" s="1046"/>
      <c r="S13" s="1043"/>
      <c r="T13" s="1043"/>
      <c r="U13" s="1043"/>
      <c r="V13" s="1048"/>
      <c r="W13" s="1048"/>
      <c r="X13" s="1045"/>
      <c r="Y13" s="1045"/>
      <c r="Z13" s="1045"/>
      <c r="AA13" s="1045"/>
      <c r="AB13" s="1045"/>
      <c r="AC13" s="1049">
        <v>15</v>
      </c>
    </row>
    <row s="34718" customFormat="1" customHeight="1" ht="15.75">
      <c r="A14" s="2725"/>
      <c r="B14" s="1043"/>
      <c r="C14" s="1038"/>
      <c r="D14" s="1427"/>
      <c r="E14" s="1047"/>
      <c r="F14" s="803"/>
      <c r="G14" s="1041" t="s">
        <v>101</v>
      </c>
      <c r="H14" s="813"/>
      <c r="I14" s="1050"/>
      <c r="J14" s="1137"/>
      <c r="K14" s="1137"/>
      <c r="L14" s="1137"/>
      <c r="M14" s="1137"/>
      <c r="N14" s="1126"/>
      <c r="O14" s="1137"/>
      <c r="P14" s="1043"/>
      <c r="Q14" s="1043"/>
      <c r="R14" s="1046"/>
      <c r="S14" s="1043"/>
      <c r="T14" s="1043"/>
      <c r="U14" s="1043"/>
      <c r="V14" s="1048"/>
      <c r="W14" s="1048"/>
      <c r="X14" s="1045"/>
      <c r="Y14" s="1045"/>
      <c r="Z14" s="1045"/>
      <c r="AA14" s="1045"/>
      <c r="AB14" s="1045"/>
      <c r="AC14" s="1049">
        <v>15</v>
      </c>
    </row>
    <row customHeight="1" ht="15">
      <c r="A15" s="2843" t="s">
        <v>102</v>
      </c>
      <c r="B15" s="1786"/>
      <c r="C15" s="1427" t="s">
        <v>103</v>
      </c>
      <c r="D15" s="2444"/>
      <c r="E15" s="2431" t="str">
        <f>A15</f>
        <v>2</v>
      </c>
      <c r="F15" s="1430" t="s">
        <v>104</v>
      </c>
      <c r="G15" s="1166" t="str">
        <f>"Территория "&amp;E15</f>
        <v>Территория 2</v>
      </c>
      <c r="H15" s="1418"/>
      <c r="I15" s="1418"/>
      <c r="J15" s="1415"/>
      <c r="K15" s="2250"/>
      <c r="L15" s="2250"/>
      <c r="M15" s="2250"/>
      <c r="N15" s="852"/>
      <c r="O15" s="2250"/>
      <c r="P15" s="851"/>
      <c r="Q15" s="851"/>
      <c r="R15" s="851"/>
      <c r="S15" s="851"/>
      <c r="T15" s="3500"/>
      <c r="U15" s="3500"/>
      <c r="V15" s="3500"/>
      <c r="W15" s="3500"/>
      <c r="X15" s="3500"/>
      <c r="Y15" s="3500"/>
      <c r="Z15" s="3500"/>
      <c r="AA15" s="3500"/>
      <c r="AB15" s="3500"/>
      <c r="AC15" s="3500"/>
    </row>
    <row customHeight="1" ht="15">
      <c r="A16" s="2843"/>
      <c r="B16" s="1786">
        <v>1</v>
      </c>
      <c r="C16" s="1786"/>
      <c r="D16" s="1426"/>
      <c r="E16" s="2439" t="str">
        <f>A15&amp;"."&amp;B16</f>
        <v>2.1</v>
      </c>
      <c r="F16" s="1429" t="s">
        <v>105</v>
      </c>
      <c r="G16" s="1419" t="s">
        <v>106</v>
      </c>
      <c r="H16" s="1419" t="s">
        <v>106</v>
      </c>
      <c r="I16" s="1417" t="s">
        <v>107</v>
      </c>
      <c r="J16" s="2250"/>
      <c r="K16" s="2262"/>
      <c r="L16" s="2262"/>
      <c r="M16" s="2250" t="str">
        <f t="array" ref="M16:M16">IF(ISERROR(MATCH(MID(N16,1,250),MID(note_ter,1,250),0)),"n","y")</f>
        <v>n</v>
      </c>
      <c r="N16" s="2262"/>
      <c r="O16" s="2250" t="str">
        <f>H16&amp;"("&amp;I16&amp;")"</f>
        <v>Прогресс(10775000)</v>
      </c>
      <c r="P16" s="1786"/>
      <c r="Q16" s="1786"/>
      <c r="R16" s="1046"/>
      <c r="S16" s="1786"/>
      <c r="T16" s="1786"/>
      <c r="U16" s="1786"/>
      <c r="V16" s="1048"/>
      <c r="W16" s="1048"/>
      <c r="X16" s="1045"/>
      <c r="Y16" s="1045"/>
      <c r="Z16" s="1045"/>
      <c r="AA16" s="1045"/>
      <c r="AB16" s="1045"/>
      <c r="AC16" s="1045"/>
    </row>
    <row customHeight="1" ht="15">
      <c r="A17" s="2843"/>
      <c r="B17" s="1786"/>
      <c r="C17" s="1038"/>
      <c r="D17" s="1427"/>
      <c r="E17" s="1047"/>
      <c r="F17" s="803"/>
      <c r="G17" s="1041" t="s">
        <v>101</v>
      </c>
      <c r="H17" s="813"/>
      <c r="I17" s="1050"/>
      <c r="J17" s="2262"/>
      <c r="K17" s="2262"/>
      <c r="L17" s="2262"/>
      <c r="M17" s="2262"/>
      <c r="N17" s="2250"/>
      <c r="O17" s="2262"/>
      <c r="P17" s="1786"/>
      <c r="Q17" s="1786"/>
      <c r="R17" s="1046"/>
      <c r="S17" s="1786"/>
      <c r="T17" s="1786"/>
      <c r="U17" s="1786"/>
      <c r="V17" s="1048"/>
      <c r="W17" s="1048"/>
      <c r="X17" s="1045"/>
      <c r="Y17" s="1045"/>
      <c r="Z17" s="1045"/>
      <c r="AA17" s="1045"/>
      <c r="AB17" s="1045"/>
      <c r="AC17" s="1045"/>
    </row>
    <row customHeight="1" ht="15">
      <c r="A18" s="2843" t="s">
        <v>90</v>
      </c>
      <c r="B18" s="1786"/>
      <c r="C18" s="1427" t="s">
        <v>103</v>
      </c>
      <c r="D18" s="2444"/>
      <c r="E18" s="2431" t="str">
        <f>A18</f>
        <v>3</v>
      </c>
      <c r="F18" s="1430" t="s">
        <v>108</v>
      </c>
      <c r="G18" s="1166" t="str">
        <f>"Территория "&amp;E18</f>
        <v>Территория 3</v>
      </c>
      <c r="H18" s="1418"/>
      <c r="I18" s="1418"/>
      <c r="J18" s="1415"/>
      <c r="K18" s="2250"/>
      <c r="L18" s="2250"/>
      <c r="M18" s="2250"/>
      <c r="N18" s="852"/>
      <c r="O18" s="2250"/>
      <c r="P18" s="851"/>
      <c r="Q18" s="851"/>
      <c r="R18" s="851"/>
      <c r="S18" s="851"/>
      <c r="T18" s="3500"/>
      <c r="U18" s="3500"/>
      <c r="V18" s="3500"/>
      <c r="W18" s="3500"/>
      <c r="X18" s="3500"/>
      <c r="Y18" s="3500"/>
      <c r="Z18" s="3500"/>
      <c r="AA18" s="3500"/>
      <c r="AB18" s="3500"/>
      <c r="AC18" s="3500"/>
    </row>
    <row customHeight="1" ht="29.25">
      <c r="A19" s="2843"/>
      <c r="B19" s="1786">
        <v>1</v>
      </c>
      <c r="C19" s="1786"/>
      <c r="D19" s="1426"/>
      <c r="E19" s="2439" t="str">
        <f>A18&amp;"."&amp;B19</f>
        <v>3.1</v>
      </c>
      <c r="F19" s="1429" t="s">
        <v>91</v>
      </c>
      <c r="G19" s="1419" t="s">
        <v>109</v>
      </c>
      <c r="H19" s="1419" t="s">
        <v>110</v>
      </c>
      <c r="I19" s="1417" t="s">
        <v>111</v>
      </c>
      <c r="J19" s="2250"/>
      <c r="K19" s="2262"/>
      <c r="L19" s="2262"/>
      <c r="M19" s="2250" t="str">
        <f t="array" ref="M19:M19">IF(ISERROR(MATCH(MID(N19,1,250),MID(note_ter,1,250),0)),"n","y")</f>
        <v>n</v>
      </c>
      <c r="N19" s="2262"/>
      <c r="O19" s="2250" t="str">
        <f>H19&amp;"("&amp;I19&amp;")"</f>
        <v>Территория упразднённого муниципального образования Чигиринский сельсовет(10511440)</v>
      </c>
      <c r="P19" s="1786"/>
      <c r="Q19" s="1786"/>
      <c r="R19" s="1046"/>
      <c r="S19" s="1786"/>
      <c r="T19" s="1786"/>
      <c r="U19" s="1786"/>
      <c r="V19" s="1048"/>
      <c r="W19" s="1048"/>
      <c r="X19" s="1045"/>
      <c r="Y19" s="1045"/>
      <c r="Z19" s="1045"/>
      <c r="AA19" s="1045"/>
      <c r="AB19" s="1045"/>
      <c r="AC19" s="1045"/>
    </row>
    <row customHeight="1" ht="15">
      <c r="A20" s="2843"/>
      <c r="B20" s="1786"/>
      <c r="C20" s="1038"/>
      <c r="D20" s="1427"/>
      <c r="E20" s="1047"/>
      <c r="F20" s="803"/>
      <c r="G20" s="1041" t="s">
        <v>101</v>
      </c>
      <c r="H20" s="813"/>
      <c r="I20" s="1050"/>
      <c r="J20" s="2262"/>
      <c r="K20" s="2262"/>
      <c r="L20" s="2262"/>
      <c r="M20" s="2262"/>
      <c r="N20" s="2250"/>
      <c r="O20" s="2262"/>
      <c r="P20" s="1786"/>
      <c r="Q20" s="1786"/>
      <c r="R20" s="1046"/>
      <c r="S20" s="1786"/>
      <c r="T20" s="1786"/>
      <c r="U20" s="1786"/>
      <c r="V20" s="1048"/>
      <c r="W20" s="1048"/>
      <c r="X20" s="1045"/>
      <c r="Y20" s="1045"/>
      <c r="Z20" s="1045"/>
      <c r="AA20" s="1045"/>
      <c r="AB20" s="1045"/>
      <c r="AC20" s="1045"/>
    </row>
    <row s="34673" customFormat="1" customHeight="1" ht="14.699999999999998">
      <c r="A21" s="1384"/>
      <c r="B21" s="1043"/>
      <c r="C21" s="1384"/>
      <c r="D21" s="1408"/>
      <c r="E21" s="1420"/>
      <c r="F21" s="804"/>
      <c r="G21" s="1042" t="s">
        <v>112</v>
      </c>
      <c r="H21" s="804"/>
      <c r="I21" s="805"/>
      <c r="J21" s="875"/>
      <c r="K21" s="781"/>
      <c r="L21" s="781"/>
      <c r="M21" s="781"/>
      <c r="N21" s="852" t="s">
        <v>113</v>
      </c>
      <c r="O21" s="781"/>
      <c r="P21" s="851"/>
      <c r="Q21" s="851"/>
      <c r="R21" s="851"/>
      <c r="S21" s="851"/>
      <c r="AC21" s="742">
        <v>14</v>
      </c>
    </row>
    <row s="34673" customFormat="1" customHeight="1" ht="22.049999999999997">
      <c r="A22" s="1384"/>
      <c r="B22" s="1043"/>
      <c r="C22" s="1384"/>
      <c r="D22" s="791"/>
      <c r="E22" s="806"/>
      <c r="F22" s="806"/>
      <c r="G22" s="806"/>
      <c r="H22" s="806"/>
      <c r="I22" s="806"/>
      <c r="J22" s="781"/>
      <c r="K22" s="781"/>
      <c r="L22" s="781"/>
      <c r="M22" s="781"/>
      <c r="N22" s="852"/>
      <c r="O22" s="781"/>
      <c r="P22" s="851"/>
      <c r="Q22" s="851"/>
      <c r="R22" s="851"/>
      <c r="S22" s="851"/>
      <c r="AC22" s="742">
        <v>21</v>
      </c>
    </row>
    <row s="34673" customFormat="1" customHeight="1" ht="14.699999999999998">
      <c r="A23" s="1384"/>
      <c r="B23" s="1043"/>
      <c r="C23" s="1384"/>
      <c r="D23" s="791"/>
      <c r="E23" s="709"/>
      <c r="F23" s="1384"/>
      <c r="G23" s="709"/>
      <c r="H23" s="709"/>
      <c r="I23" s="709"/>
      <c r="J23" s="781"/>
      <c r="K23" s="781"/>
      <c r="L23" s="781"/>
      <c r="M23" s="781"/>
      <c r="N23" s="852"/>
      <c r="O23" s="781"/>
      <c r="P23" s="851"/>
      <c r="Q23" s="851"/>
      <c r="R23" s="851"/>
      <c r="S23" s="851"/>
      <c r="AC23" s="742">
        <v>14</v>
      </c>
    </row>
    <row s="34673" customFormat="1" customHeight="1" ht="1.05">
      <c r="A24" s="1384"/>
      <c r="B24" s="1043"/>
      <c r="C24" s="1384"/>
      <c r="D24" s="791"/>
      <c r="E24" s="709"/>
      <c r="F24" s="1384"/>
      <c r="G24" s="709"/>
      <c r="H24" s="709"/>
      <c r="I24" s="709"/>
      <c r="J24" s="781"/>
      <c r="K24" s="781"/>
      <c r="L24" s="781"/>
      <c r="M24" s="781"/>
      <c r="N24" s="852"/>
      <c r="O24" s="781"/>
      <c r="P24" s="851"/>
      <c r="Q24" s="851"/>
      <c r="R24" s="851"/>
      <c r="S24" s="851"/>
      <c r="AC24" s="742">
        <v>1</v>
      </c>
    </row>
    <row s="34751" customFormat="1" customHeight="1" ht="10.5">
      <c r="B25" s="1460"/>
      <c r="D25" s="808"/>
      <c r="J25" s="781"/>
      <c r="K25" s="781"/>
      <c r="L25" s="781"/>
      <c r="M25" s="781"/>
      <c r="N25" s="852"/>
      <c r="O25" s="781"/>
      <c r="P25" s="851"/>
      <c r="Q25" s="851"/>
      <c r="R25" s="851"/>
      <c r="S25" s="851"/>
      <c r="AC25" s="807">
        <v>10</v>
      </c>
    </row>
    <row s="34751" customFormat="1" customHeight="1" ht="10.5">
      <c r="B26" s="1460"/>
      <c r="D26" s="808"/>
      <c r="J26" s="781"/>
      <c r="K26" s="781"/>
      <c r="L26" s="781"/>
      <c r="M26" s="781"/>
      <c r="N26" s="852"/>
      <c r="O26" s="781"/>
      <c r="P26" s="851"/>
      <c r="Q26" s="851"/>
      <c r="R26" s="851"/>
      <c r="S26" s="851"/>
      <c r="AC26" s="807">
        <v>10</v>
      </c>
    </row>
    <row customHeight="1" ht="14.699999999999998">
      <c r="AC27" s="709">
        <v>14</v>
      </c>
    </row>
    <row customHeight="1" ht="14.699999999999998">
      <c r="AC28" s="709">
        <v>14</v>
      </c>
    </row>
    <row customHeight="1" ht="14.699999999999998">
      <c r="AC29" s="709">
        <v>14</v>
      </c>
    </row>
    <row customHeight="1" ht="14.699999999999998">
      <c r="H30" s="688"/>
      <c r="AC30" s="709">
        <v>14</v>
      </c>
    </row>
    <row customHeight="1" ht="14.699999999999998">
      <c r="AC31" s="709">
        <v>14</v>
      </c>
    </row>
    <row customHeight="1" ht="14.699999999999998">
      <c r="AC32" s="709">
        <v>14</v>
      </c>
    </row>
    <row customHeight="1" ht="14.699999999999998">
      <c r="AC33" s="709">
        <v>14</v>
      </c>
    </row>
    <row customHeight="1" ht="14.699999999999998">
      <c r="J34" s="709"/>
      <c r="K34" s="709"/>
      <c r="L34" s="709"/>
      <c r="AC34" s="709">
        <v>14</v>
      </c>
    </row>
    <row customHeight="1" ht="22.5" hidden="1">
      <c r="A35" s="1384" t="s">
        <v>82</v>
      </c>
      <c r="B35" s="1043">
        <v>0</v>
      </c>
      <c r="C35" s="1384">
        <v>3</v>
      </c>
      <c r="D35" s="791">
        <v>3</v>
      </c>
      <c r="E35" s="709">
        <v>6</v>
      </c>
      <c r="F35" s="1384">
        <v>0</v>
      </c>
      <c r="G35" s="709">
        <v>46</v>
      </c>
      <c r="H35" s="709">
        <v>42</v>
      </c>
      <c r="I35" s="709">
        <v>14</v>
      </c>
      <c r="J35" s="781">
        <v>3</v>
      </c>
      <c r="K35" s="781">
        <v>0</v>
      </c>
      <c r="L35" s="781">
        <v>0</v>
      </c>
      <c r="M35" s="781">
        <v>0</v>
      </c>
      <c r="N35" s="852">
        <v>0</v>
      </c>
      <c r="O35" s="781">
        <v>0</v>
      </c>
      <c r="P35" s="851">
        <v>0</v>
      </c>
      <c r="Q35" s="851">
        <v>0</v>
      </c>
      <c r="R35" s="851">
        <v>0</v>
      </c>
      <c r="S35" s="851">
        <v>0</v>
      </c>
      <c r="T35" s="709">
        <v>0</v>
      </c>
      <c r="U35" s="709">
        <v>0</v>
      </c>
      <c r="V35" s="709">
        <v>0</v>
      </c>
      <c r="W35" s="709">
        <v>0</v>
      </c>
      <c r="X35" s="709">
        <v>0</v>
      </c>
      <c r="Y35" s="709">
        <v>0</v>
      </c>
      <c r="Z35" s="709">
        <v>0</v>
      </c>
      <c r="AA35" s="709">
        <v>0</v>
      </c>
      <c r="AB35" s="709">
        <v>8</v>
      </c>
      <c r="AC35" s="709">
        <v>23</v>
      </c>
    </row>
  </sheetData>
  <sheetProtection sheet="1" formatColumns="0" formatRows="0" autoFilter="0" sort="1" insertRows="1" insertColumns="1" deleteRows="1" deleteColumns="1"/>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E467DD-2B08-3638-312D-F13E5CA783F7}"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4.140625" hidden="1" customWidth="1"/>
    <col min="10" max="10" style="34657" width="9.8515625" hidden="1" customWidth="1"/>
    <col min="11" max="11" style="34657" width="14.71093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5.00390625" customWidth="1"/>
    <col min="21" max="21" style="34580" width="0.140625" customWidth="1"/>
    <col min="22" max="28" style="34580" width="19.7109375" hidden="1" customWidth="1"/>
    <col min="29" max="29" style="34580" width="11.7109375" hidden="1" customWidth="1"/>
    <col min="30" max="30" style="34580" width="3.7109375" hidden="1" customWidth="1"/>
    <col min="31" max="31" style="34580" width="11.7109375" hidden="1" customWidth="1"/>
    <col min="32" max="32" style="34580" width="8.57421875" hidden="1" customWidth="1"/>
    <col min="33" max="33" style="34580" width="19.7109375" customWidth="1"/>
    <col min="34" max="39" style="34580" width="19.00390625" customWidth="1"/>
    <col min="40" max="40" style="34580" width="11.00390625" customWidth="1"/>
    <col min="41" max="41" style="34580" width="3.7109375" customWidth="1"/>
    <col min="42" max="42" style="34580" width="11.00390625" customWidth="1"/>
    <col min="43" max="43" style="34580" width="8.57421875" hidden="1" customWidth="1"/>
    <col min="44" max="44" style="34580" width="4.00390625" customWidth="1"/>
    <col min="45" max="45" style="34580" width="115.00390625" customWidth="1"/>
    <col min="46" max="50" style="34658" width="10.00390625" customWidth="1"/>
    <col min="51" max="51" style="34580" width="10.57421875" hidden="1"/>
  </cols>
  <sheetData>
    <row customHeight="1" ht="22.5" hidden="1">
      <c r="AC1" s="953"/>
      <c r="AN1" s="953"/>
      <c r="AY1" s="1781" t="s">
        <v>14</v>
      </c>
    </row>
    <row customHeight="1" ht="23.25" hidden="1">
      <c r="A2" s="1989"/>
      <c r="B2" s="1989"/>
      <c r="C2" s="1989"/>
      <c r="D2" s="1989"/>
      <c r="E2" s="2884">
        <v>1</v>
      </c>
      <c r="F2" s="1989"/>
      <c r="G2" s="1989"/>
      <c r="H2" s="1989"/>
      <c r="I2" s="1989"/>
      <c r="J2" s="1989"/>
      <c r="K2" s="1989"/>
      <c r="L2" s="1990"/>
      <c r="M2" s="1991"/>
      <c r="N2" s="1991"/>
      <c r="O2" s="1991"/>
      <c r="P2" s="987"/>
      <c r="Q2" s="986"/>
      <c r="R2" s="981"/>
      <c r="S2" s="2119">
        <f>INDEX(PT_DIFFERENTIATION_NUM_NTAR,MATCH(A2,PT_DIFFERENTIATION_NTAR_ID,0))</f>
      </c>
      <c r="T2" s="924" t="s">
        <v>143</v>
      </c>
      <c r="U2" s="926"/>
      <c r="V2" s="2868"/>
      <c r="W2" s="2869"/>
      <c r="X2" s="2869"/>
      <c r="Y2" s="2869"/>
      <c r="Z2" s="2869"/>
      <c r="AA2" s="2869"/>
      <c r="AB2" s="2869"/>
      <c r="AC2" s="2869"/>
      <c r="AD2" s="2869"/>
      <c r="AE2" s="2869"/>
      <c r="AF2" s="2870"/>
      <c r="AG2" s="2868">
        <f>INDEX(PT_DIFFERENTIATION_NTAR,MATCH(A2,PT_DIFFERENTIATION_NTAR_ID,0))</f>
      </c>
      <c r="AH2" s="2869"/>
      <c r="AI2" s="2869"/>
      <c r="AJ2" s="2869"/>
      <c r="AK2" s="2869"/>
      <c r="AL2" s="2869"/>
      <c r="AM2" s="2869"/>
      <c r="AN2" s="2869"/>
      <c r="AO2" s="2869"/>
      <c r="AP2" s="2869"/>
      <c r="AQ2" s="2869"/>
      <c r="AR2" s="2870"/>
      <c r="AS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126"/>
      <c r="AV2" s="1126" t="str">
        <f>IF(T2="","",T2)</f>
        <v>Наименование тарифа</v>
      </c>
      <c r="AW2" s="1126"/>
      <c r="AX2" s="1126"/>
      <c r="AY2" s="1781">
        <v>0</v>
      </c>
    </row>
    <row customHeight="1" ht="23.25" hidden="1">
      <c r="A3" s="1989"/>
      <c r="B3" s="1989"/>
      <c r="C3" s="1989"/>
      <c r="D3" s="1989"/>
      <c r="E3" s="2885"/>
      <c r="F3" s="2884">
        <v>1</v>
      </c>
      <c r="G3" s="1989"/>
      <c r="H3" s="1989"/>
      <c r="I3" s="1989"/>
      <c r="J3" s="1989"/>
      <c r="K3" s="1989"/>
      <c r="L3" s="1990"/>
      <c r="M3" s="1991"/>
      <c r="N3" s="1991"/>
      <c r="O3" s="1991"/>
      <c r="P3" s="2113"/>
      <c r="Q3" s="978"/>
      <c r="R3" s="979"/>
      <c r="S3" s="2119">
        <f>INDEX(PT_DIFFERENTIATION_NUM_TER,MATCH(B3,PT_DIFFERENTIATION_TER_ID,0))</f>
      </c>
      <c r="T3" s="934" t="s">
        <v>415</v>
      </c>
      <c r="U3" s="926"/>
      <c r="V3" s="2868"/>
      <c r="W3" s="2869"/>
      <c r="X3" s="2869"/>
      <c r="Y3" s="2869"/>
      <c r="Z3" s="2869"/>
      <c r="AA3" s="2869"/>
      <c r="AB3" s="2869"/>
      <c r="AC3" s="2869"/>
      <c r="AD3" s="2869"/>
      <c r="AE3" s="2869"/>
      <c r="AF3" s="2870"/>
      <c r="AG3" s="2868">
        <f>INDEX(PT_DIFFERENTIATION_TER,MATCH(B3,PT_DIFFERENTIATION_TER_ID,0))</f>
      </c>
      <c r="AH3" s="2869"/>
      <c r="AI3" s="2869"/>
      <c r="AJ3" s="2869"/>
      <c r="AK3" s="2869"/>
      <c r="AL3" s="2869"/>
      <c r="AM3" s="2869"/>
      <c r="AN3" s="2869"/>
      <c r="AO3" s="2869"/>
      <c r="AP3" s="2869"/>
      <c r="AQ3" s="2869"/>
      <c r="AR3" s="2870"/>
      <c r="AS3" s="1884" t="s">
        <v>416</v>
      </c>
      <c r="AU3" s="1126"/>
      <c r="AV3" s="1126" t="str">
        <f>IF(T3="","",T3)</f>
        <v>Территория действия тарифа</v>
      </c>
      <c r="AW3" s="1126"/>
      <c r="AX3" s="1126"/>
      <c r="AY3" s="1781">
        <v>0</v>
      </c>
    </row>
    <row customHeight="1" ht="23.25" hidden="1">
      <c r="A4" s="1989"/>
      <c r="B4" s="1989"/>
      <c r="C4" s="1989"/>
      <c r="D4" s="1989"/>
      <c r="E4" s="2885"/>
      <c r="F4" s="2885"/>
      <c r="G4" s="2884">
        <v>1</v>
      </c>
      <c r="H4" s="1989"/>
      <c r="I4" s="1989"/>
      <c r="J4" s="1989"/>
      <c r="K4" s="1989"/>
      <c r="L4" s="1990"/>
      <c r="M4" s="1991"/>
      <c r="N4" s="1991"/>
      <c r="O4" s="1991"/>
      <c r="P4" s="980"/>
      <c r="Q4" s="978"/>
      <c r="R4" s="979"/>
      <c r="S4" s="2119">
        <f>INDEX(PT_DIFFERENTIATION_NUM_CS,MATCH(C4,PT_DIFFERENTIATION_CS_ID,0))</f>
      </c>
      <c r="T4" s="935" t="s">
        <v>548</v>
      </c>
      <c r="U4" s="926"/>
      <c r="V4" s="2868"/>
      <c r="W4" s="2869"/>
      <c r="X4" s="2869"/>
      <c r="Y4" s="2869"/>
      <c r="Z4" s="2869"/>
      <c r="AA4" s="2869"/>
      <c r="AB4" s="2869"/>
      <c r="AC4" s="2869"/>
      <c r="AD4" s="2869"/>
      <c r="AE4" s="2869"/>
      <c r="AF4" s="2870"/>
      <c r="AG4" s="2868">
        <f>INDEX(PT_DIFFERENTIATION_CS,MATCH(C4,PT_DIFFERENTIATION_CS_ID,0))</f>
      </c>
      <c r="AH4" s="2869"/>
      <c r="AI4" s="2869"/>
      <c r="AJ4" s="2869"/>
      <c r="AK4" s="2869"/>
      <c r="AL4" s="2869"/>
      <c r="AM4" s="2869"/>
      <c r="AN4" s="2869"/>
      <c r="AO4" s="2869"/>
      <c r="AP4" s="2869"/>
      <c r="AQ4" s="2869"/>
      <c r="AR4" s="2870"/>
      <c r="AS4" s="1884" t="s">
        <v>549</v>
      </c>
      <c r="AU4" s="1126"/>
      <c r="AV4" s="1126" t="str">
        <f>IF(T4="","",T4)</f>
        <v>Наименование централизованной системы горячего водоснабжения</v>
      </c>
      <c r="AW4" s="1126"/>
      <c r="AX4" s="1126"/>
      <c r="AY4" s="1781">
        <v>0</v>
      </c>
    </row>
    <row customHeight="1" ht="23.25" hidden="1">
      <c r="A5" s="1989"/>
      <c r="B5" s="1989"/>
      <c r="C5" s="1989"/>
      <c r="D5" s="1989"/>
      <c r="E5" s="2885"/>
      <c r="F5" s="2885"/>
      <c r="G5" s="2885"/>
      <c r="H5" s="2885"/>
      <c r="I5" s="2882">
        <f>S4&amp;".1"</f>
      </c>
      <c r="J5" s="1989"/>
      <c r="K5" s="1989"/>
      <c r="L5" s="1990"/>
      <c r="P5" s="2883">
        <v>1</v>
      </c>
      <c r="Q5" s="2107"/>
      <c r="R5" s="982"/>
      <c r="S5" s="2119">
        <f>$I5</f>
      </c>
      <c r="T5" s="911" t="s">
        <v>501</v>
      </c>
      <c r="U5" s="926"/>
      <c r="V5" s="2976"/>
      <c r="W5" s="2977"/>
      <c r="X5" s="2977"/>
      <c r="Y5" s="2977"/>
      <c r="Z5" s="2977"/>
      <c r="AA5" s="2977"/>
      <c r="AB5" s="2977"/>
      <c r="AC5" s="2977"/>
      <c r="AD5" s="2977"/>
      <c r="AE5" s="2977"/>
      <c r="AF5" s="2978"/>
      <c r="AG5" s="2979"/>
      <c r="AH5" s="2980"/>
      <c r="AI5" s="2980"/>
      <c r="AJ5" s="2980"/>
      <c r="AK5" s="2980"/>
      <c r="AL5" s="2980"/>
      <c r="AM5" s="2980"/>
      <c r="AN5" s="2980"/>
      <c r="AO5" s="2980"/>
      <c r="AP5" s="2980"/>
      <c r="AQ5" s="2980"/>
      <c r="AR5" s="2981"/>
      <c r="AS5" s="1884" t="s">
        <v>502</v>
      </c>
      <c r="AU5" s="1126"/>
      <c r="AV5" s="1126" t="str">
        <f>IF(T5="","",T5)</f>
        <v>Наименование признака дифференциации</v>
      </c>
      <c r="AW5" s="1126"/>
      <c r="AX5" s="1126"/>
      <c r="AY5" s="1781">
        <v>0</v>
      </c>
    </row>
    <row customHeight="1" ht="23.25" hidden="1">
      <c r="A6" s="1989"/>
      <c r="B6" s="1989"/>
      <c r="C6" s="1989"/>
      <c r="D6" s="1989"/>
      <c r="E6" s="2885"/>
      <c r="F6" s="2885"/>
      <c r="G6" s="2885"/>
      <c r="H6" s="2885"/>
      <c r="I6" s="2912"/>
      <c r="J6" s="2882">
        <f>I5&amp;".1"</f>
      </c>
      <c r="K6" s="1989"/>
      <c r="L6" s="1990" t="s">
        <v>424</v>
      </c>
      <c r="P6" s="2883"/>
      <c r="Q6" s="2883">
        <v>1</v>
      </c>
      <c r="R6" s="983"/>
      <c r="S6" s="2119">
        <f>$J6</f>
      </c>
      <c r="T6" s="912" t="s">
        <v>425</v>
      </c>
      <c r="U6" s="926"/>
      <c r="V6" s="2871"/>
      <c r="W6" s="2872"/>
      <c r="X6" s="2872"/>
      <c r="Y6" s="2872"/>
      <c r="Z6" s="2872"/>
      <c r="AA6" s="2872"/>
      <c r="AB6" s="2872"/>
      <c r="AC6" s="2872"/>
      <c r="AD6" s="2872"/>
      <c r="AE6" s="2872"/>
      <c r="AF6" s="2873"/>
      <c r="AG6" s="2871"/>
      <c r="AH6" s="2872"/>
      <c r="AI6" s="2872"/>
      <c r="AJ6" s="2872"/>
      <c r="AK6" s="2872"/>
      <c r="AL6" s="2872"/>
      <c r="AM6" s="2872"/>
      <c r="AN6" s="2872"/>
      <c r="AO6" s="2872"/>
      <c r="AP6" s="2872"/>
      <c r="AQ6" s="2872"/>
      <c r="AR6" s="2873"/>
      <c r="AS6" s="1933" t="s">
        <v>503</v>
      </c>
      <c r="AU6" s="1126"/>
      <c r="AV6" s="1126" t="str">
        <f>IF(T6="","",T6)</f>
        <v>Группа потребителей</v>
      </c>
      <c r="AW6" s="1126"/>
      <c r="AX6" s="1126"/>
      <c r="AY6" s="1781">
        <v>0</v>
      </c>
    </row>
    <row customHeight="1" ht="23.25" hidden="1">
      <c r="A7" s="1989"/>
      <c r="B7" s="1989"/>
      <c r="C7" s="1989"/>
      <c r="D7" s="1989"/>
      <c r="E7" s="2885"/>
      <c r="F7" s="2885"/>
      <c r="G7" s="2885"/>
      <c r="H7" s="2885"/>
      <c r="I7" s="2912"/>
      <c r="J7" s="2912"/>
      <c r="K7" s="2882">
        <f>J6&amp;".1"</f>
      </c>
      <c r="L7" s="1990"/>
      <c r="P7" s="2883"/>
      <c r="Q7" s="2883"/>
      <c r="R7" s="983">
        <v>1</v>
      </c>
      <c r="S7" s="2119">
        <f>$K7</f>
      </c>
      <c r="T7" s="2063"/>
      <c r="U7" s="926"/>
      <c r="V7" s="1377"/>
      <c r="W7" s="1377"/>
      <c r="X7" s="1377"/>
      <c r="Y7" s="1377"/>
      <c r="Z7" s="1377"/>
      <c r="AA7" s="1377"/>
      <c r="AB7" s="1377"/>
      <c r="AC7" s="2891"/>
      <c r="AD7" s="2733" t="s">
        <v>66</v>
      </c>
      <c r="AE7" s="2891"/>
      <c r="AF7" s="2733" t="s">
        <v>66</v>
      </c>
      <c r="AG7" s="1377"/>
      <c r="AH7" s="1377"/>
      <c r="AI7" s="1377"/>
      <c r="AJ7" s="1377"/>
      <c r="AK7" s="1377"/>
      <c r="AL7" s="1377"/>
      <c r="AM7" s="1377"/>
      <c r="AN7" s="2891"/>
      <c r="AO7" s="2733" t="s">
        <v>66</v>
      </c>
      <c r="AP7" s="2913"/>
      <c r="AQ7" s="2733" t="s">
        <v>66</v>
      </c>
      <c r="AR7" s="2064"/>
      <c r="AS7"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137">
        <f>STRCHECKDATE(V8:AR8)</f>
      </c>
      <c r="AU7" s="1126"/>
      <c r="AV7" s="1126" t="str">
        <f>IF(T7="","",T7)</f>
        <v/>
      </c>
      <c r="AW7" s="1126"/>
      <c r="AX7" s="1126"/>
      <c r="AY7" s="1781">
        <v>0</v>
      </c>
    </row>
    <row customHeight="1" ht="14.25" hidden="1">
      <c r="A8" s="1989"/>
      <c r="B8" s="1989"/>
      <c r="C8" s="1989"/>
      <c r="D8" s="1989"/>
      <c r="E8" s="2885"/>
      <c r="F8" s="2885"/>
      <c r="G8" s="2885"/>
      <c r="H8" s="2885"/>
      <c r="I8" s="2912"/>
      <c r="J8" s="2912"/>
      <c r="K8" s="2882"/>
      <c r="L8" s="1990"/>
      <c r="P8" s="2883"/>
      <c r="Q8" s="2883"/>
      <c r="R8" s="983"/>
      <c r="S8" s="2116"/>
      <c r="T8" s="926"/>
      <c r="U8" s="926"/>
      <c r="V8" s="951"/>
      <c r="W8" s="951"/>
      <c r="X8" s="951"/>
      <c r="Y8" s="951"/>
      <c r="Z8" s="951"/>
      <c r="AA8" s="951"/>
      <c r="AB8" s="951"/>
      <c r="AC8" s="2892"/>
      <c r="AD8" s="2733"/>
      <c r="AE8" s="2892"/>
      <c r="AF8" s="2733"/>
      <c r="AG8" s="951"/>
      <c r="AH8" s="951"/>
      <c r="AI8" s="951"/>
      <c r="AJ8" s="951"/>
      <c r="AK8" s="951"/>
      <c r="AL8" s="951"/>
      <c r="AM8" s="951"/>
      <c r="AN8" s="2892"/>
      <c r="AO8" s="2733"/>
      <c r="AP8" s="2914"/>
      <c r="AQ8" s="2733"/>
      <c r="AR8" s="2065"/>
      <c r="AS8" s="2975"/>
      <c r="AU8" s="1126"/>
      <c r="AV8" s="1126" t="str">
        <f>IF(T8="","",T8)</f>
        <v/>
      </c>
      <c r="AW8" s="1126"/>
      <c r="AX8" s="1126"/>
      <c r="AY8" s="1781">
        <v>0</v>
      </c>
    </row>
    <row customHeight="1" ht="21" hidden="1">
      <c r="A9" s="1989"/>
      <c r="B9" s="1989"/>
      <c r="C9" s="1989"/>
      <c r="D9" s="1989"/>
      <c r="E9" s="2885"/>
      <c r="F9" s="2885"/>
      <c r="G9" s="2885"/>
      <c r="H9" s="2885"/>
      <c r="I9" s="2912"/>
      <c r="J9" s="2882"/>
      <c r="K9" s="1989"/>
      <c r="L9" s="1990"/>
      <c r="P9" s="2883"/>
      <c r="Q9" s="2883"/>
      <c r="R9" s="982"/>
      <c r="S9" s="1904"/>
      <c r="T9" s="913" t="s">
        <v>504</v>
      </c>
      <c r="U9" s="993"/>
      <c r="V9" s="993"/>
      <c r="W9" s="1226"/>
      <c r="X9" s="1226"/>
      <c r="Y9" s="1226"/>
      <c r="Z9" s="1226"/>
      <c r="AA9" s="1226"/>
      <c r="AB9" s="1226"/>
      <c r="AC9" s="993"/>
      <c r="AD9" s="993"/>
      <c r="AE9" s="993"/>
      <c r="AF9" s="993"/>
      <c r="AG9" s="993"/>
      <c r="AH9" s="1226"/>
      <c r="AI9" s="1226"/>
      <c r="AJ9" s="1226"/>
      <c r="AK9" s="1226"/>
      <c r="AL9" s="1226"/>
      <c r="AM9" s="993"/>
      <c r="AN9" s="993"/>
      <c r="AO9" s="993"/>
      <c r="AP9" s="993"/>
      <c r="AQ9" s="993"/>
      <c r="AR9" s="993"/>
      <c r="AS9" s="1884" t="s">
        <v>505</v>
      </c>
      <c r="AU9" s="1126"/>
      <c r="AV9" s="1126" t="str">
        <f>IF(T9="","",T9)</f>
        <v>Добавить значение признака дифференциации</v>
      </c>
      <c r="AW9" s="1126"/>
      <c r="AX9" s="1126"/>
      <c r="AY9" s="1781">
        <v>0</v>
      </c>
    </row>
    <row customHeight="1" ht="21" hidden="1">
      <c r="A10" s="1989"/>
      <c r="B10" s="1989"/>
      <c r="C10" s="1989"/>
      <c r="D10" s="1989"/>
      <c r="E10" s="2885"/>
      <c r="F10" s="2885"/>
      <c r="G10" s="2885"/>
      <c r="H10" s="2885"/>
      <c r="I10" s="2882"/>
      <c r="J10" s="1989"/>
      <c r="K10" s="1989"/>
      <c r="L10" s="1990"/>
      <c r="P10" s="2883"/>
      <c r="Q10" s="2107"/>
      <c r="R10" s="982"/>
      <c r="S10" s="1904"/>
      <c r="T10" s="991" t="s">
        <v>430</v>
      </c>
      <c r="U10" s="993"/>
      <c r="V10" s="993"/>
      <c r="W10" s="1226"/>
      <c r="X10" s="1226"/>
      <c r="Y10" s="1226"/>
      <c r="Z10" s="1226"/>
      <c r="AA10" s="1226"/>
      <c r="AB10" s="1226"/>
      <c r="AC10" s="993"/>
      <c r="AD10" s="993"/>
      <c r="AE10" s="993"/>
      <c r="AF10" s="992"/>
      <c r="AG10" s="993"/>
      <c r="AH10" s="1226"/>
      <c r="AI10" s="1226"/>
      <c r="AJ10" s="1226"/>
      <c r="AK10" s="1226"/>
      <c r="AL10" s="1226"/>
      <c r="AM10" s="993"/>
      <c r="AN10" s="993"/>
      <c r="AO10" s="993"/>
      <c r="AP10" s="993"/>
      <c r="AQ10" s="992"/>
      <c r="AR10" s="993"/>
      <c r="AS10" s="2066"/>
      <c r="AU10" s="1126"/>
      <c r="AV10" s="1126" t="str">
        <f>IF(T10="","",T10)</f>
        <v>Добавить группу потребителей</v>
      </c>
      <c r="AW10" s="1126"/>
      <c r="AX10" s="1126"/>
      <c r="AY10" s="1781">
        <v>0</v>
      </c>
    </row>
    <row customHeight="1" ht="21" hidden="1">
      <c r="A11" s="1989"/>
      <c r="B11" s="1989"/>
      <c r="C11" s="1989"/>
      <c r="D11" s="1989"/>
      <c r="E11" s="2885"/>
      <c r="F11" s="2885"/>
      <c r="G11" s="2885"/>
      <c r="H11" s="2884"/>
      <c r="I11" s="1989"/>
      <c r="J11" s="1989"/>
      <c r="K11" s="1989"/>
      <c r="L11" s="1990"/>
      <c r="M11" s="1991"/>
      <c r="N11" s="1991"/>
      <c r="O11" s="1163"/>
      <c r="P11" s="986"/>
      <c r="Q11" s="1001"/>
      <c r="R11" s="981"/>
      <c r="S11" s="1904"/>
      <c r="T11" s="998" t="s">
        <v>506</v>
      </c>
      <c r="U11" s="993"/>
      <c r="V11" s="993"/>
      <c r="W11" s="1226"/>
      <c r="X11" s="1226"/>
      <c r="Y11" s="1226"/>
      <c r="Z11" s="1226"/>
      <c r="AA11" s="1226"/>
      <c r="AB11" s="1226"/>
      <c r="AC11" s="993"/>
      <c r="AD11" s="993"/>
      <c r="AE11" s="993"/>
      <c r="AF11" s="992"/>
      <c r="AG11" s="993"/>
      <c r="AH11" s="1226"/>
      <c r="AI11" s="1226"/>
      <c r="AJ11" s="1226"/>
      <c r="AK11" s="1226"/>
      <c r="AL11" s="1226"/>
      <c r="AM11" s="993"/>
      <c r="AN11" s="993"/>
      <c r="AO11" s="993"/>
      <c r="AP11" s="993"/>
      <c r="AQ11" s="992"/>
      <c r="AR11" s="993"/>
      <c r="AS11" s="929"/>
      <c r="AU11" s="1126"/>
      <c r="AV11" s="1126" t="str">
        <f>IF(T11="","",T11)</f>
        <v>Добавить наименование признака дифференциации</v>
      </c>
      <c r="AW11" s="1126"/>
      <c r="AX11" s="1126"/>
      <c r="AY11" s="1781">
        <v>0</v>
      </c>
    </row>
    <row s="34658" customFormat="1" customHeight="1" ht="14.25" hidden="1">
      <c r="A12" s="1969"/>
      <c r="B12" s="1969"/>
      <c r="C12" s="1940"/>
      <c r="D12" s="1940"/>
      <c r="E12" s="2885"/>
      <c r="F12" s="2884"/>
      <c r="G12" s="1940"/>
      <c r="H12" s="1940"/>
      <c r="I12" s="1940"/>
      <c r="J12" s="1940"/>
      <c r="K12" s="1940"/>
      <c r="L12" s="2120"/>
      <c r="M12" s="1947"/>
      <c r="N12" s="1947"/>
      <c r="P12" s="1942"/>
      <c r="Q12" s="1943"/>
      <c r="R12" s="1942"/>
      <c r="S12" s="1948"/>
      <c r="T12" s="1951" t="s">
        <v>433</v>
      </c>
      <c r="U12" s="1950"/>
      <c r="V12" s="1950"/>
      <c r="W12" s="1950"/>
      <c r="X12" s="1950"/>
      <c r="Y12" s="1950"/>
      <c r="Z12" s="1950"/>
      <c r="AA12" s="1950"/>
      <c r="AB12" s="1950"/>
      <c r="AC12" s="1950"/>
      <c r="AD12" s="1950"/>
      <c r="AE12" s="1950"/>
      <c r="AF12" s="1950"/>
      <c r="AG12" s="1950"/>
      <c r="AH12" s="1950"/>
      <c r="AI12" s="1950"/>
      <c r="AJ12" s="1950"/>
      <c r="AK12" s="1950"/>
      <c r="AL12" s="1950"/>
      <c r="AM12" s="1950"/>
      <c r="AN12" s="1950"/>
      <c r="AO12" s="1950"/>
      <c r="AP12" s="1950"/>
      <c r="AQ12" s="1950"/>
      <c r="AR12" s="1950"/>
      <c r="AS12" s="1950"/>
      <c r="AU12" s="1415"/>
      <c r="AV12" s="1415" t="str">
        <f>IF(T12="","",T12)</f>
        <v>Добавить централизованную систему для дифференциации</v>
      </c>
      <c r="AW12" s="1415"/>
      <c r="AX12" s="1415"/>
      <c r="AY12" s="1144">
        <v>0</v>
      </c>
    </row>
    <row s="34658" customFormat="1" customHeight="1" ht="14.25" hidden="1">
      <c r="A13" s="1969"/>
      <c r="B13" s="1969"/>
      <c r="C13" s="1969"/>
      <c r="D13" s="1969"/>
      <c r="E13" s="2884"/>
      <c r="F13" s="1969"/>
      <c r="G13" s="1969"/>
      <c r="H13" s="1969"/>
      <c r="I13" s="1969"/>
      <c r="J13" s="1969"/>
      <c r="K13" s="1969"/>
      <c r="L13" s="1972"/>
      <c r="M13" s="1947"/>
      <c r="N13" s="1947"/>
      <c r="O13" s="1144"/>
      <c r="P13" s="1006"/>
      <c r="Q13" s="1970"/>
      <c r="R13" s="1006"/>
      <c r="S13" s="1948"/>
      <c r="T13" s="1951" t="s">
        <v>434</v>
      </c>
      <c r="U13" s="1950"/>
      <c r="V13" s="1950"/>
      <c r="W13" s="1950"/>
      <c r="X13" s="1950"/>
      <c r="Y13" s="1950"/>
      <c r="Z13" s="1950"/>
      <c r="AA13" s="1950"/>
      <c r="AB13" s="1950"/>
      <c r="AC13" s="1950"/>
      <c r="AD13" s="1950"/>
      <c r="AE13" s="1950"/>
      <c r="AF13" s="1950"/>
      <c r="AG13" s="1950"/>
      <c r="AH13" s="1950"/>
      <c r="AI13" s="1950"/>
      <c r="AJ13" s="1950"/>
      <c r="AK13" s="1950"/>
      <c r="AL13" s="1950"/>
      <c r="AM13" s="1950"/>
      <c r="AN13" s="1950"/>
      <c r="AO13" s="1950"/>
      <c r="AP13" s="1950"/>
      <c r="AQ13" s="1950"/>
      <c r="AR13" s="1950"/>
      <c r="AS13" s="1950"/>
      <c r="AU13" s="1126"/>
      <c r="AV13" s="1126" t="str">
        <f>IF(T13="","",T13)</f>
        <v>Добавить территорию для дифференциации</v>
      </c>
      <c r="AW13" s="1126"/>
      <c r="AX13" s="1126"/>
      <c r="AY13" s="1137">
        <v>0</v>
      </c>
    </row>
    <row customHeight="1" ht="14.25" hidden="1">
      <c r="AF14" s="953"/>
      <c r="AQ14" s="953"/>
      <c r="AY14" s="1781">
        <v>0</v>
      </c>
    </row>
    <row customHeight="1" ht="14.25" hidden="1">
      <c r="AG15" s="1986"/>
      <c r="AH15" s="1986"/>
      <c r="AI15" s="1986"/>
      <c r="AJ15" s="1986"/>
      <c r="AK15" s="1986"/>
      <c r="AL15" s="1986"/>
      <c r="AM15" s="1986"/>
      <c r="AN15" s="2893"/>
      <c r="AO15" s="2894" t="s">
        <v>66</v>
      </c>
      <c r="AP15" s="2893"/>
      <c r="AQ15" s="2894" t="s">
        <v>66</v>
      </c>
      <c r="AY15" s="1781">
        <v>0</v>
      </c>
    </row>
    <row customHeight="1" ht="14.25" hidden="1">
      <c r="AG16" s="1986"/>
      <c r="AH16" s="1986"/>
      <c r="AI16" s="1986"/>
      <c r="AJ16" s="1986"/>
      <c r="AK16" s="1986"/>
      <c r="AL16" s="1986"/>
      <c r="AM16" s="1986"/>
      <c r="AN16" s="2894"/>
      <c r="AO16" s="2894"/>
      <c r="AP16" s="2894"/>
      <c r="AQ16" s="2894"/>
      <c r="AY16" s="1781">
        <v>0</v>
      </c>
    </row>
    <row customHeight="1" ht="14.25" hidden="1">
      <c r="AQ17" s="953"/>
      <c r="AY17" s="1781">
        <v>0</v>
      </c>
    </row>
    <row s="34657" customFormat="1" customHeight="1" ht="22.5" hidden="1">
      <c r="L18" s="2104"/>
      <c r="M18" s="1988"/>
      <c r="N18" s="1988"/>
      <c r="O18" s="1993" t="s">
        <v>435</v>
      </c>
      <c r="P18" s="1988"/>
      <c r="Q18" s="1997"/>
      <c r="R18" s="1997"/>
      <c r="S18" s="1355"/>
      <c r="W18" s="1992"/>
      <c r="X18" s="1992"/>
      <c r="Y18" s="1992"/>
      <c r="Z18" s="1992"/>
      <c r="AA18" s="1992"/>
      <c r="AB18" s="1992"/>
      <c r="AC18" s="1993"/>
      <c r="AE18" s="1993"/>
      <c r="AF18" s="1992"/>
      <c r="AH18" s="1992"/>
      <c r="AI18" s="1992"/>
      <c r="AJ18" s="1992"/>
      <c r="AK18" s="1992"/>
      <c r="AL18" s="1992"/>
      <c r="AN18" s="1993"/>
      <c r="AP18" s="1993"/>
      <c r="AQ18" s="1992"/>
      <c r="AT18" s="1137"/>
      <c r="AU18" s="1137"/>
      <c r="AV18" s="1137"/>
      <c r="AW18" s="1137"/>
      <c r="AX18" s="1137"/>
      <c r="AY18" s="1786">
        <v>0</v>
      </c>
    </row>
    <row s="34657" customFormat="1" customHeight="1" ht="14.25" hidden="1">
      <c r="L19" s="2104"/>
      <c r="M19" s="1988"/>
      <c r="N19" s="1988"/>
      <c r="O19" s="1988"/>
      <c r="P19" s="1988"/>
      <c r="Q19" s="1997"/>
      <c r="R19" s="1997"/>
      <c r="S19" s="1355"/>
      <c r="W19" s="1992"/>
      <c r="X19" s="1992"/>
      <c r="Y19" s="1992"/>
      <c r="Z19" s="1992"/>
      <c r="AA19" s="1992"/>
      <c r="AB19" s="1992"/>
      <c r="AF19" s="1992"/>
      <c r="AH19" s="1992"/>
      <c r="AI19" s="1992"/>
      <c r="AJ19" s="1992"/>
      <c r="AK19" s="1992"/>
      <c r="AL19" s="1992"/>
      <c r="AQ19" s="1992"/>
      <c r="AT19" s="1137"/>
      <c r="AU19" s="1137"/>
      <c r="AV19" s="1137"/>
      <c r="AW19" s="1137"/>
      <c r="AX19" s="1137"/>
      <c r="AY19" s="1786">
        <v>0</v>
      </c>
    </row>
    <row s="34657" customFormat="1" customHeight="1" ht="12" hidden="1">
      <c r="L20" s="2104"/>
      <c r="M20" s="1988"/>
      <c r="N20" s="1988"/>
      <c r="O20" s="1990" t="s">
        <v>436</v>
      </c>
      <c r="P20" s="1988"/>
      <c r="Q20" s="2068"/>
      <c r="R20" s="2068"/>
      <c r="S20" s="1355"/>
      <c r="T20" s="1786" t="s">
        <v>437</v>
      </c>
      <c r="W20" s="1992"/>
      <c r="X20" s="1992"/>
      <c r="Y20" s="1992"/>
      <c r="Z20" s="1992"/>
      <c r="AA20" s="1992"/>
      <c r="AB20" s="1992"/>
      <c r="AD20" s="812" t="s">
        <v>438</v>
      </c>
      <c r="AF20" s="812" t="s">
        <v>439</v>
      </c>
      <c r="AG20" s="1786" t="s">
        <v>437</v>
      </c>
      <c r="AH20" s="1992"/>
      <c r="AI20" s="1992"/>
      <c r="AJ20" s="1992"/>
      <c r="AK20" s="1992"/>
      <c r="AL20" s="1992"/>
      <c r="AO20" s="812" t="s">
        <v>440</v>
      </c>
      <c r="AQ20" s="812" t="s">
        <v>439</v>
      </c>
      <c r="AY20" s="1786">
        <v>0</v>
      </c>
    </row>
    <row customHeight="1" ht="14.25" hidden="1">
      <c r="O21" s="1990"/>
      <c r="AY21" s="1781">
        <v>0</v>
      </c>
    </row>
    <row customHeight="1" ht="14.25" hidden="1">
      <c r="O22" s="1990"/>
      <c r="AY22" s="1781">
        <v>0</v>
      </c>
    </row>
    <row customHeight="1" ht="14.699999999999998">
      <c r="Q23" s="1002"/>
      <c r="R23" s="1002"/>
      <c r="S23" s="1901"/>
      <c r="T23" s="989"/>
      <c r="U23" s="989"/>
      <c r="V23" s="1135"/>
      <c r="W23" s="2261"/>
      <c r="X23" s="2261"/>
      <c r="Y23" s="2261"/>
      <c r="Z23" s="2261"/>
      <c r="AA23" s="2261"/>
      <c r="AB23" s="2261"/>
      <c r="AC23" s="1135"/>
      <c r="AD23" s="1135"/>
      <c r="AE23" s="1135"/>
      <c r="AF23" s="1135"/>
      <c r="AG23" s="1135"/>
      <c r="AH23" s="2261"/>
      <c r="AI23" s="2261"/>
      <c r="AJ23" s="2261"/>
      <c r="AK23" s="2261"/>
      <c r="AL23" s="2261"/>
      <c r="AM23" s="1135"/>
      <c r="AN23" s="1135"/>
      <c r="AO23" s="1135"/>
      <c r="AP23" s="1135"/>
      <c r="AQ23" s="1135"/>
      <c r="AY23" s="1781">
        <v>14</v>
      </c>
    </row>
    <row customHeight="1" ht="26.25">
      <c r="Q24" s="1002"/>
      <c r="R24" s="1002"/>
      <c r="S24" s="28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1869"/>
      <c r="AY24" s="1781">
        <v>25</v>
      </c>
    </row>
    <row customHeight="1" ht="14.699999999999998">
      <c r="Q25" s="1002"/>
      <c r="R25" s="1002"/>
      <c r="S25" s="2875" t="str">
        <f>IF(org=0,"Не определено",org)</f>
        <v>АО "ДГК"</v>
      </c>
      <c r="T25" s="2875"/>
      <c r="U25" s="2875"/>
      <c r="V25" s="2875"/>
      <c r="W25" s="2875"/>
      <c r="X25" s="2875"/>
      <c r="Y25" s="2875"/>
      <c r="Z25" s="2875"/>
      <c r="AA25" s="2875"/>
      <c r="AB25" s="2875"/>
      <c r="AC25" s="2875"/>
      <c r="AD25" s="2875"/>
      <c r="AE25" s="2875"/>
      <c r="AF25" s="2875"/>
      <c r="AG25" s="2875"/>
      <c r="AH25" s="2875"/>
      <c r="AI25" s="2875"/>
      <c r="AJ25" s="2875"/>
      <c r="AK25" s="2875"/>
      <c r="AL25" s="2875"/>
      <c r="AM25" s="2875"/>
      <c r="AN25" s="2875"/>
      <c r="AO25" s="2875"/>
      <c r="AP25" s="2875"/>
      <c r="AQ25" s="1869"/>
      <c r="AY25" s="1781">
        <v>14</v>
      </c>
    </row>
    <row customHeight="1" ht="14.25" hidden="1">
      <c r="Q26" s="1002"/>
      <c r="R26" s="1002"/>
      <c r="S26" s="1901"/>
      <c r="T26" s="989"/>
      <c r="U26" s="989"/>
      <c r="V26" s="948"/>
      <c r="W26" s="948"/>
      <c r="X26" s="948"/>
      <c r="Y26" s="948"/>
      <c r="Z26" s="948"/>
      <c r="AA26" s="948"/>
      <c r="AB26" s="948"/>
      <c r="AC26" s="948"/>
      <c r="AD26" s="948"/>
      <c r="AE26" s="948"/>
      <c r="AF26" s="948"/>
      <c r="AG26" s="948"/>
      <c r="AH26" s="948"/>
      <c r="AI26" s="948"/>
      <c r="AJ26" s="948"/>
      <c r="AK26" s="948"/>
      <c r="AL26" s="948"/>
      <c r="AM26" s="948"/>
      <c r="AN26" s="948"/>
      <c r="AO26" s="948"/>
      <c r="AP26" s="948"/>
      <c r="AQ26" s="948"/>
      <c r="AR26" s="1135"/>
      <c r="AY26" s="1781">
        <v>0</v>
      </c>
    </row>
    <row s="34794" customFormat="1" customHeight="1" ht="25.5" hidden="1">
      <c r="A27" s="1994"/>
      <c r="B27" s="1994"/>
      <c r="C27" s="1994"/>
      <c r="D27" s="1994"/>
      <c r="E27" s="1994"/>
      <c r="F27" s="1994"/>
      <c r="G27" s="1994"/>
      <c r="H27" s="1994"/>
      <c r="I27" s="1994"/>
      <c r="J27" s="1994"/>
      <c r="K27" s="1994"/>
      <c r="L27" s="1995"/>
      <c r="M27" s="1994"/>
      <c r="N27" s="1994"/>
      <c r="O27" s="1994"/>
      <c r="S27" s="2876" t="s">
        <v>42</v>
      </c>
      <c r="T27" s="2876"/>
      <c r="U27" s="1998"/>
      <c r="V27" s="2877" t="str">
        <f>IF(TITLE_NAME_OR_PR_CHANGE="",IF(TITLE_NAME_OR_PR="","",TITLE_NAME_OR_PR),TITLE_NAME_OR_PR_CHANGE)</f>
        <v/>
      </c>
      <c r="W27" s="2877"/>
      <c r="X27" s="2877"/>
      <c r="Y27" s="2877"/>
      <c r="Z27" s="2877"/>
      <c r="AA27" s="2877"/>
      <c r="AB27" s="2877"/>
      <c r="AC27" s="2877"/>
      <c r="AD27" s="2877"/>
      <c r="AE27" s="2877"/>
      <c r="AF27" s="952"/>
      <c r="AG27" s="2877" t="str">
        <f>IF(TITLE_NAME_OR_PR_CHANGE="",IF(TITLE_NAME_OR_PR="","",TITLE_NAME_OR_PR),TITLE_NAME_OR_PR_CHANGE)</f>
        <v/>
      </c>
      <c r="AH27" s="2877"/>
      <c r="AI27" s="2877"/>
      <c r="AJ27" s="2877"/>
      <c r="AK27" s="2877"/>
      <c r="AL27" s="2877"/>
      <c r="AM27" s="2877"/>
      <c r="AN27" s="2877"/>
      <c r="AO27" s="2877"/>
      <c r="AP27" s="2877"/>
      <c r="AQ27" s="952"/>
      <c r="AR27" s="952"/>
      <c r="AS27" s="906"/>
      <c r="AT27" s="994"/>
      <c r="AU27" s="994"/>
      <c r="AV27" s="994"/>
      <c r="AW27" s="994"/>
      <c r="AX27" s="994"/>
      <c r="AY27" s="1044">
        <v>0</v>
      </c>
    </row>
    <row s="34794" customFormat="1" customHeight="1" ht="18.75" hidden="1">
      <c r="A28" s="1994"/>
      <c r="B28" s="1994"/>
      <c r="C28" s="1994"/>
      <c r="D28" s="1994"/>
      <c r="E28" s="1994"/>
      <c r="F28" s="1994"/>
      <c r="G28" s="1994"/>
      <c r="H28" s="1994"/>
      <c r="I28" s="1994"/>
      <c r="J28" s="1994"/>
      <c r="K28" s="1994"/>
      <c r="L28" s="1995"/>
      <c r="M28" s="1994"/>
      <c r="N28" s="1994"/>
      <c r="O28" s="1994"/>
      <c r="S28" s="2876" t="s">
        <v>441</v>
      </c>
      <c r="T28" s="2876"/>
      <c r="U28" s="1998"/>
      <c r="V28" s="2890" t="str">
        <f>IF(TITLE_DATE_PR_CHANGE="",IF(TITLE_DATE_PR="","",TITLE_DATE_PR),TITLE_DATE_PR_CHANGE)</f>
        <v/>
      </c>
      <c r="W28" s="2890"/>
      <c r="X28" s="2890"/>
      <c r="Y28" s="2890"/>
      <c r="Z28" s="2890"/>
      <c r="AA28" s="2890"/>
      <c r="AB28" s="2890"/>
      <c r="AC28" s="2890"/>
      <c r="AD28" s="2890"/>
      <c r="AE28" s="2890"/>
      <c r="AF28" s="952"/>
      <c r="AG28" s="2890" t="str">
        <f>IF(TITLE_DATE_PR_CHANGE="",IF(TITLE_DATE_PR="","",TITLE_DATE_PR),TITLE_DATE_PR_CHANGE)</f>
        <v/>
      </c>
      <c r="AH28" s="2890"/>
      <c r="AI28" s="2890"/>
      <c r="AJ28" s="2890"/>
      <c r="AK28" s="2890"/>
      <c r="AL28" s="2890"/>
      <c r="AM28" s="2890"/>
      <c r="AN28" s="2890"/>
      <c r="AO28" s="2890"/>
      <c r="AP28" s="2890"/>
      <c r="AQ28" s="952"/>
      <c r="AR28" s="952"/>
      <c r="AS28" s="906"/>
      <c r="AT28" s="994"/>
      <c r="AU28" s="994"/>
      <c r="AV28" s="994"/>
      <c r="AW28" s="994"/>
      <c r="AX28" s="994"/>
      <c r="AY28" s="1044">
        <v>0</v>
      </c>
    </row>
    <row s="34794" customFormat="1" customHeight="1" ht="18.75" hidden="1">
      <c r="A29" s="1994"/>
      <c r="B29" s="1994"/>
      <c r="C29" s="1994"/>
      <c r="D29" s="1994"/>
      <c r="E29" s="1994"/>
      <c r="F29" s="1994"/>
      <c r="G29" s="1994"/>
      <c r="H29" s="1994"/>
      <c r="I29" s="1994"/>
      <c r="J29" s="1994"/>
      <c r="K29" s="1994"/>
      <c r="L29" s="1995"/>
      <c r="M29" s="1994"/>
      <c r="N29" s="1994"/>
      <c r="O29" s="1994"/>
      <c r="S29" s="2876" t="s">
        <v>442</v>
      </c>
      <c r="T29" s="2876"/>
      <c r="U29" s="1998"/>
      <c r="V29" s="2877" t="str">
        <f>IF(TITLE_NUMBER_PR_CHANGE="",IF(TITLE_NUMBER_PR="","",TITLE_NUMBER_PR),TITLE_NUMBER_PR_CHANGE)</f>
        <v/>
      </c>
      <c r="W29" s="2877"/>
      <c r="X29" s="2877"/>
      <c r="Y29" s="2877"/>
      <c r="Z29" s="2877"/>
      <c r="AA29" s="2877"/>
      <c r="AB29" s="2877"/>
      <c r="AC29" s="2877"/>
      <c r="AD29" s="2877"/>
      <c r="AE29" s="2877"/>
      <c r="AF29" s="952"/>
      <c r="AG29" s="2877" t="str">
        <f>IF(TITLE_NUMBER_PR_CHANGE="",IF(TITLE_NUMBER_PR="","",TITLE_NUMBER_PR),TITLE_NUMBER_PR_CHANGE)</f>
        <v/>
      </c>
      <c r="AH29" s="2877"/>
      <c r="AI29" s="2877"/>
      <c r="AJ29" s="2877"/>
      <c r="AK29" s="2877"/>
      <c r="AL29" s="2877"/>
      <c r="AM29" s="2877"/>
      <c r="AN29" s="2877"/>
      <c r="AO29" s="2877"/>
      <c r="AP29" s="2877"/>
      <c r="AQ29" s="952"/>
      <c r="AR29" s="952"/>
      <c r="AS29" s="906"/>
      <c r="AT29" s="994"/>
      <c r="AU29" s="994"/>
      <c r="AV29" s="994"/>
      <c r="AW29" s="994"/>
      <c r="AX29" s="994"/>
      <c r="AY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43</v>
      </c>
      <c r="T30" s="2876"/>
      <c r="U30" s="1998"/>
      <c r="V30" s="2877" t="str">
        <f>IF(TITLE_IST_PUB_CHANGE="",IF(TITLE_IST_PUB="","",TITLE_IST_PUB),TITLE_IST_PUB_CHANGE)</f>
        <v/>
      </c>
      <c r="W30" s="2877"/>
      <c r="X30" s="2877"/>
      <c r="Y30" s="2877"/>
      <c r="Z30" s="2877"/>
      <c r="AA30" s="2877"/>
      <c r="AB30" s="2877"/>
      <c r="AC30" s="2877"/>
      <c r="AD30" s="2877"/>
      <c r="AE30" s="2877"/>
      <c r="AF30" s="952"/>
      <c r="AG30" s="2877" t="str">
        <f>IF(TITLE_IST_PUB_CHANGE="",IF(TITLE_IST_PUB="","",TITLE_IST_PUB),TITLE_IST_PUB_CHANGE)</f>
        <v/>
      </c>
      <c r="AH30" s="2877"/>
      <c r="AI30" s="2877"/>
      <c r="AJ30" s="2877"/>
      <c r="AK30" s="2877"/>
      <c r="AL30" s="2877"/>
      <c r="AM30" s="2877"/>
      <c r="AN30" s="2877"/>
      <c r="AO30" s="2877"/>
      <c r="AP30" s="2877"/>
      <c r="AQ30" s="952"/>
      <c r="AR30" s="952"/>
      <c r="AS30" s="906"/>
      <c r="AT30" s="994"/>
      <c r="AU30" s="994"/>
      <c r="AV30" s="994"/>
      <c r="AW30" s="994"/>
      <c r="AX30" s="994"/>
      <c r="AY30" s="1044">
        <v>0</v>
      </c>
    </row>
    <row customHeight="1" ht="14.25" hidden="1">
      <c r="Q31" s="1002"/>
      <c r="R31" s="1002"/>
      <c r="S31" s="1901"/>
      <c r="T31" s="989"/>
      <c r="U31" s="989"/>
      <c r="V31" s="948"/>
      <c r="W31" s="948"/>
      <c r="X31" s="948"/>
      <c r="Y31" s="948"/>
      <c r="Z31" s="948"/>
      <c r="AA31" s="948"/>
      <c r="AB31" s="948"/>
      <c r="AC31" s="948"/>
      <c r="AD31" s="948"/>
      <c r="AE31" s="948"/>
      <c r="AF31" s="948"/>
      <c r="AG31" s="948"/>
      <c r="AH31" s="948"/>
      <c r="AI31" s="948"/>
      <c r="AJ31" s="948"/>
      <c r="AK31" s="948"/>
      <c r="AL31" s="948"/>
      <c r="AM31" s="948"/>
      <c r="AN31" s="948"/>
      <c r="AO31" s="948"/>
      <c r="AP31" s="948"/>
      <c r="AQ31" s="948"/>
      <c r="AR31" s="1135"/>
      <c r="AY31" s="1781">
        <v>0</v>
      </c>
    </row>
    <row s="34794" customFormat="1" customHeight="1" ht="18.75" hidden="1">
      <c r="A32" s="1994"/>
      <c r="B32" s="1994"/>
      <c r="C32" s="1994"/>
      <c r="D32" s="1994"/>
      <c r="E32" s="1994"/>
      <c r="F32" s="1994"/>
      <c r="G32" s="1994"/>
      <c r="H32" s="1994"/>
      <c r="I32" s="1994"/>
      <c r="J32" s="1994"/>
      <c r="K32" s="1994"/>
      <c r="L32" s="1995"/>
      <c r="M32" s="1994"/>
      <c r="N32" s="1994"/>
      <c r="O32" s="1994"/>
      <c r="S32" s="2876" t="s">
        <v>443</v>
      </c>
      <c r="T32" s="2876"/>
      <c r="U32" s="1998"/>
      <c r="V32" s="2890" t="str">
        <f>IF(TITLE_DATE_PR_CHANGE="",IF(TITLE_DATE_PR="","",TITLE_DATE_PR),TITLE_DATE_PR_CHANGE)</f>
        <v/>
      </c>
      <c r="W32" s="2890"/>
      <c r="X32" s="2890"/>
      <c r="Y32" s="2890"/>
      <c r="Z32" s="2890"/>
      <c r="AA32" s="2890"/>
      <c r="AB32" s="2890"/>
      <c r="AC32" s="2890"/>
      <c r="AD32" s="2890"/>
      <c r="AE32" s="2890"/>
      <c r="AF32" s="952"/>
      <c r="AG32" s="2890" t="str">
        <f>IF(TITLE_DATE_PR_CHANGE="",IF(TITLE_DATE_PR="","",TITLE_DATE_PR),TITLE_DATE_PR_CHANGE)</f>
        <v/>
      </c>
      <c r="AH32" s="2890"/>
      <c r="AI32" s="2890"/>
      <c r="AJ32" s="2890"/>
      <c r="AK32" s="2890"/>
      <c r="AL32" s="2890"/>
      <c r="AM32" s="2890"/>
      <c r="AN32" s="2890"/>
      <c r="AO32" s="2890"/>
      <c r="AP32" s="2890"/>
      <c r="AQ32" s="952"/>
      <c r="AR32" s="952"/>
      <c r="AS32" s="906"/>
      <c r="AT32" s="994"/>
      <c r="AU32" s="994"/>
      <c r="AV32" s="994"/>
      <c r="AW32" s="994"/>
      <c r="AX32" s="994"/>
      <c r="AY32" s="1044">
        <v>0</v>
      </c>
    </row>
    <row s="34794" customFormat="1" customHeight="1" ht="18.75" hidden="1">
      <c r="A33" s="1994"/>
      <c r="B33" s="1994"/>
      <c r="C33" s="1994"/>
      <c r="D33" s="1994"/>
      <c r="E33" s="1994"/>
      <c r="F33" s="1994"/>
      <c r="G33" s="1994"/>
      <c r="H33" s="1994"/>
      <c r="I33" s="1994"/>
      <c r="J33" s="1994"/>
      <c r="K33" s="1994"/>
      <c r="L33" s="1995"/>
      <c r="M33" s="1994"/>
      <c r="N33" s="1994"/>
      <c r="O33" s="1994"/>
      <c r="S33" s="2876" t="s">
        <v>444</v>
      </c>
      <c r="T33" s="2876"/>
      <c r="U33" s="1998"/>
      <c r="V33" s="2877" t="str">
        <f>IF(TITLE_NUMBER_PR_CHANGE="",IF(TITLE_NUMBER_PR="","",TITLE_NUMBER_PR),TITLE_NUMBER_PR_CHANGE)</f>
        <v/>
      </c>
      <c r="W33" s="2877"/>
      <c r="X33" s="2877"/>
      <c r="Y33" s="2877"/>
      <c r="Z33" s="2877"/>
      <c r="AA33" s="2877"/>
      <c r="AB33" s="2877"/>
      <c r="AC33" s="2877"/>
      <c r="AD33" s="2877"/>
      <c r="AE33" s="2877"/>
      <c r="AF33" s="952"/>
      <c r="AG33" s="2877" t="str">
        <f>IF(TITLE_NUMBER_PR_CHANGE="",IF(TITLE_NUMBER_PR="","",TITLE_NUMBER_PR),TITLE_NUMBER_PR_CHANGE)</f>
        <v/>
      </c>
      <c r="AH33" s="2877"/>
      <c r="AI33" s="2877"/>
      <c r="AJ33" s="2877"/>
      <c r="AK33" s="2877"/>
      <c r="AL33" s="2877"/>
      <c r="AM33" s="2877"/>
      <c r="AN33" s="2877"/>
      <c r="AO33" s="2877"/>
      <c r="AP33" s="2877"/>
      <c r="AQ33" s="952"/>
      <c r="AR33" s="952"/>
      <c r="AS33" s="906"/>
      <c r="AT33" s="994"/>
      <c r="AU33" s="994"/>
      <c r="AV33" s="994"/>
      <c r="AW33" s="994"/>
      <c r="AX33" s="994"/>
      <c r="AY33" s="1044">
        <v>0</v>
      </c>
    </row>
    <row s="34794" customFormat="1" customHeight="1" ht="1.05">
      <c r="A34" s="1994"/>
      <c r="B34" s="1994"/>
      <c r="C34" s="1994"/>
      <c r="D34" s="1994"/>
      <c r="E34" s="1994"/>
      <c r="F34" s="1994"/>
      <c r="G34" s="1994"/>
      <c r="H34" s="1994"/>
      <c r="I34" s="1994"/>
      <c r="J34" s="1994"/>
      <c r="K34" s="1994"/>
      <c r="L34" s="1995"/>
      <c r="M34" s="1994"/>
      <c r="N34" s="1994"/>
      <c r="O34" s="1994"/>
      <c r="S34" s="949"/>
      <c r="T34" s="949"/>
      <c r="U34" s="2114"/>
      <c r="V34" s="952"/>
      <c r="W34" s="2261"/>
      <c r="X34" s="2261"/>
      <c r="Y34" s="2261"/>
      <c r="Z34" s="2261"/>
      <c r="AA34" s="2261"/>
      <c r="AB34" s="2261"/>
      <c r="AC34" s="952"/>
      <c r="AD34" s="952"/>
      <c r="AE34" s="952"/>
      <c r="AF34" s="904" t="s">
        <v>445</v>
      </c>
      <c r="AG34" s="952"/>
      <c r="AH34" s="2261"/>
      <c r="AI34" s="2261"/>
      <c r="AJ34" s="2261"/>
      <c r="AK34" s="2261"/>
      <c r="AL34" s="2261"/>
      <c r="AM34" s="952"/>
      <c r="AN34" s="952"/>
      <c r="AO34" s="952"/>
      <c r="AP34" s="952"/>
      <c r="AQ34" s="904" t="s">
        <v>445</v>
      </c>
      <c r="AT34" s="994"/>
      <c r="AU34" s="994"/>
      <c r="AV34" s="994"/>
      <c r="AW34" s="994"/>
      <c r="AX34" s="994"/>
      <c r="AY34" s="1044">
        <v>1</v>
      </c>
    </row>
    <row customHeight="1" ht="14.699999999999998">
      <c r="Q35" s="1002"/>
      <c r="R35" s="1002"/>
      <c r="S35" s="1901"/>
      <c r="T35" s="989"/>
      <c r="U35" s="1870"/>
      <c r="V35" s="2878"/>
      <c r="W35" s="2878"/>
      <c r="X35" s="2878"/>
      <c r="Y35" s="2878"/>
      <c r="Z35" s="2878"/>
      <c r="AA35" s="2878"/>
      <c r="AB35" s="2878"/>
      <c r="AC35" s="2878"/>
      <c r="AD35" s="2878"/>
      <c r="AE35" s="2878"/>
      <c r="AF35" s="2878"/>
      <c r="AG35" s="2878"/>
      <c r="AH35" s="2878"/>
      <c r="AI35" s="2878"/>
      <c r="AJ35" s="2878"/>
      <c r="AK35" s="2878"/>
      <c r="AL35" s="2878"/>
      <c r="AM35" s="2878"/>
      <c r="AN35" s="2878"/>
      <c r="AO35" s="2878"/>
      <c r="AP35" s="2878"/>
      <c r="AQ35" s="2878"/>
      <c r="AY35" s="1781">
        <v>14</v>
      </c>
    </row>
    <row customHeight="1" ht="14.699999999999998">
      <c r="Q36" s="1002"/>
      <c r="R36" s="1002"/>
      <c r="S36" s="2753" t="s">
        <v>318</v>
      </c>
      <c r="T36" s="2753"/>
      <c r="U36" s="2753"/>
      <c r="V36" s="2753"/>
      <c r="W36" s="2753"/>
      <c r="X36" s="2753"/>
      <c r="Y36" s="2753"/>
      <c r="Z36" s="2753"/>
      <c r="AA36" s="2753"/>
      <c r="AB36" s="2753"/>
      <c r="AC36" s="2753"/>
      <c r="AD36" s="2753"/>
      <c r="AE36" s="2753"/>
      <c r="AF36" s="2753"/>
      <c r="AG36" s="2753"/>
      <c r="AH36" s="2753"/>
      <c r="AI36" s="2753"/>
      <c r="AJ36" s="2753"/>
      <c r="AK36" s="2753"/>
      <c r="AL36" s="2753"/>
      <c r="AM36" s="2753"/>
      <c r="AN36" s="2753"/>
      <c r="AO36" s="2753"/>
      <c r="AP36" s="2753"/>
      <c r="AQ36" s="2753"/>
      <c r="AR36" s="2753"/>
      <c r="AS36" s="2753" t="s">
        <v>319</v>
      </c>
      <c r="AY36" s="1781">
        <v>14</v>
      </c>
    </row>
    <row customHeight="1" ht="14.699999999999998">
      <c r="Q37" s="1002"/>
      <c r="R37" s="1002"/>
      <c r="S37" s="2899" t="s">
        <v>88</v>
      </c>
      <c r="T37" s="2835" t="s">
        <v>446</v>
      </c>
      <c r="U37" s="927"/>
      <c r="V37" s="2900" t="s">
        <v>447</v>
      </c>
      <c r="W37" s="2917"/>
      <c r="X37" s="2917"/>
      <c r="Y37" s="2917"/>
      <c r="Z37" s="2917"/>
      <c r="AA37" s="2917"/>
      <c r="AB37" s="2917"/>
      <c r="AC37" s="2901"/>
      <c r="AD37" s="2901"/>
      <c r="AE37" s="2902"/>
      <c r="AF37" s="2903" t="s">
        <v>448</v>
      </c>
      <c r="AG37" s="2900" t="s">
        <v>447</v>
      </c>
      <c r="AH37" s="2901"/>
      <c r="AI37" s="2901"/>
      <c r="AJ37" s="2901"/>
      <c r="AK37" s="2901"/>
      <c r="AL37" s="2901"/>
      <c r="AM37" s="2901"/>
      <c r="AN37" s="2901"/>
      <c r="AO37" s="2901"/>
      <c r="AP37" s="2902"/>
      <c r="AQ37" s="2903" t="s">
        <v>449</v>
      </c>
      <c r="AR37" s="2906" t="s">
        <v>450</v>
      </c>
      <c r="AS37" s="2753"/>
      <c r="AY37" s="1781">
        <v>14</v>
      </c>
    </row>
    <row customHeight="1" ht="19.95">
      <c r="Q38" s="1002"/>
      <c r="R38" s="1002"/>
      <c r="S38" s="2899"/>
      <c r="T38" s="2835"/>
      <c r="U38" s="1657"/>
      <c r="V38" s="2992" t="s">
        <v>550</v>
      </c>
      <c r="W38" s="2991" t="s">
        <v>551</v>
      </c>
      <c r="X38" s="2991"/>
      <c r="Y38" s="2991"/>
      <c r="Z38" s="2991" t="s">
        <v>552</v>
      </c>
      <c r="AA38" s="2991"/>
      <c r="AB38" s="2991"/>
      <c r="AC38" s="2920" t="s">
        <v>454</v>
      </c>
      <c r="AD38" s="2939"/>
      <c r="AE38" s="2940"/>
      <c r="AF38" s="2904"/>
      <c r="AG38" s="2992" t="s">
        <v>550</v>
      </c>
      <c r="AH38" s="2991" t="s">
        <v>551</v>
      </c>
      <c r="AI38" s="2991"/>
      <c r="AJ38" s="2991"/>
      <c r="AK38" s="2991" t="s">
        <v>552</v>
      </c>
      <c r="AL38" s="2991"/>
      <c r="AM38" s="2991"/>
      <c r="AN38" s="2920" t="s">
        <v>454</v>
      </c>
      <c r="AO38" s="2939"/>
      <c r="AP38" s="2940"/>
      <c r="AQ38" s="2904"/>
      <c r="AR38" s="2907"/>
      <c r="AS38" s="2753"/>
      <c r="AY38" s="1781">
        <v>19</v>
      </c>
    </row>
    <row s="34580" customFormat="1" customHeight="1" ht="19.95">
      <c r="A39" s="1992"/>
      <c r="B39" s="1992"/>
      <c r="C39" s="1992"/>
      <c r="D39" s="1992"/>
      <c r="E39" s="1992"/>
      <c r="F39" s="1992"/>
      <c r="G39" s="1992"/>
      <c r="H39" s="1992"/>
      <c r="I39" s="1992"/>
      <c r="J39" s="1992"/>
      <c r="K39" s="1992"/>
      <c r="L39" s="2577"/>
      <c r="M39" s="1988"/>
      <c r="N39" s="1988"/>
      <c r="O39" s="1988"/>
      <c r="P39" s="2591"/>
      <c r="Q39" s="1002"/>
      <c r="R39" s="1002"/>
      <c r="S39" s="2899"/>
      <c r="T39" s="2835"/>
      <c r="U39" s="1657"/>
      <c r="V39" s="2992"/>
      <c r="W39" s="2991" t="s">
        <v>553</v>
      </c>
      <c r="X39" s="2991" t="s">
        <v>554</v>
      </c>
      <c r="Y39" s="2991"/>
      <c r="Z39" s="2991" t="s">
        <v>555</v>
      </c>
      <c r="AA39" s="2991" t="s">
        <v>554</v>
      </c>
      <c r="AB39" s="2991"/>
      <c r="AC39" s="2921"/>
      <c r="AD39" s="2941"/>
      <c r="AE39" s="2942"/>
      <c r="AF39" s="2904"/>
      <c r="AG39" s="2992"/>
      <c r="AH39" s="2991" t="s">
        <v>553</v>
      </c>
      <c r="AI39" s="2991" t="s">
        <v>554</v>
      </c>
      <c r="AJ39" s="2991"/>
      <c r="AK39" s="2991" t="s">
        <v>555</v>
      </c>
      <c r="AL39" s="2991" t="s">
        <v>554</v>
      </c>
      <c r="AM39" s="2991"/>
      <c r="AN39" s="2921"/>
      <c r="AO39" s="2941"/>
      <c r="AP39" s="2942"/>
      <c r="AQ39" s="2904"/>
      <c r="AR39" s="2907"/>
      <c r="AS39" s="2753"/>
      <c r="AT39" s="2262"/>
      <c r="AU39" s="2262"/>
      <c r="AV39" s="2262"/>
      <c r="AW39" s="2262"/>
      <c r="AX39" s="2262"/>
      <c r="AY39" s="2257">
        <v>19</v>
      </c>
    </row>
    <row customHeight="1" ht="61.949999999999996">
      <c r="A40" s="1996"/>
      <c r="B40" s="1996" t="s">
        <v>155</v>
      </c>
      <c r="C40" s="1996" t="s">
        <v>156</v>
      </c>
      <c r="D40" s="1996" t="s">
        <v>157</v>
      </c>
      <c r="E40" s="1990" t="s">
        <v>455</v>
      </c>
      <c r="F40" s="1990" t="s">
        <v>456</v>
      </c>
      <c r="G40" s="1990" t="s">
        <v>457</v>
      </c>
      <c r="H40" s="1990"/>
      <c r="I40" s="1990" t="s">
        <v>508</v>
      </c>
      <c r="J40" s="1990" t="s">
        <v>460</v>
      </c>
      <c r="K40" s="1990" t="s">
        <v>509</v>
      </c>
      <c r="L40" s="1990" t="s">
        <v>436</v>
      </c>
      <c r="Q40" s="1002"/>
      <c r="R40" s="1002"/>
      <c r="S40" s="2899"/>
      <c r="T40" s="2835"/>
      <c r="U40" s="928"/>
      <c r="V40" s="2992"/>
      <c r="W40" s="2991"/>
      <c r="X40" s="2609" t="s">
        <v>556</v>
      </c>
      <c r="Y40" s="2609" t="s">
        <v>557</v>
      </c>
      <c r="Z40" s="2991"/>
      <c r="AA40" s="2609" t="s">
        <v>558</v>
      </c>
      <c r="AB40" s="2609" t="s">
        <v>559</v>
      </c>
      <c r="AC40" s="2115" t="s">
        <v>464</v>
      </c>
      <c r="AD40" s="2896" t="s">
        <v>465</v>
      </c>
      <c r="AE40" s="2897"/>
      <c r="AF40" s="2905"/>
      <c r="AG40" s="2992"/>
      <c r="AH40" s="2991"/>
      <c r="AI40" s="2609" t="s">
        <v>556</v>
      </c>
      <c r="AJ40" s="2609" t="s">
        <v>557</v>
      </c>
      <c r="AK40" s="2991"/>
      <c r="AL40" s="2609" t="s">
        <v>558</v>
      </c>
      <c r="AM40" s="2609" t="s">
        <v>559</v>
      </c>
      <c r="AN40" s="2115" t="s">
        <v>464</v>
      </c>
      <c r="AO40" s="2896" t="s">
        <v>465</v>
      </c>
      <c r="AP40" s="2897"/>
      <c r="AQ40" s="2905"/>
      <c r="AR40" s="2908"/>
      <c r="AS40" s="2753"/>
      <c r="AY40" s="1781">
        <v>59</v>
      </c>
    </row>
    <row s="35197" customFormat="1" customHeight="1" ht="11.25" hidden="1">
      <c r="A41" s="1996"/>
      <c r="B41" s="1996"/>
      <c r="C41" s="1996"/>
      <c r="D41" s="1996"/>
      <c r="E41" s="1996"/>
      <c r="F41" s="1996"/>
      <c r="G41" s="1996"/>
      <c r="H41" s="1996"/>
      <c r="I41" s="1996"/>
      <c r="J41" s="1996"/>
      <c r="K41" s="1996"/>
      <c r="L41" s="1990"/>
      <c r="M41" s="1988"/>
      <c r="N41" s="1988"/>
      <c r="O41" s="1988"/>
      <c r="P41" s="1872"/>
      <c r="Q41" s="1873"/>
      <c r="R41" s="1880">
        <v>1</v>
      </c>
      <c r="S41" s="1903" t="s">
        <v>118</v>
      </c>
      <c r="T41" s="1881" t="s">
        <v>102</v>
      </c>
      <c r="U41" s="1871" t="str">
        <f>OFFSET(U41,0,-1)</f>
        <v>2</v>
      </c>
      <c r="V41" s="2108">
        <f>OFFSET(V41,0,-1)+1</f>
        <v>3</v>
      </c>
      <c r="W41" s="1967"/>
      <c r="X41" s="1967"/>
      <c r="Y41" s="1967"/>
      <c r="Z41" s="1967"/>
      <c r="AA41" s="1967"/>
      <c r="AB41" s="1967"/>
      <c r="AC41" s="2108">
        <f>OFFSET(AC41,0,-1)+1</f>
        <v>1</v>
      </c>
      <c r="AD41" s="2898">
        <f>OFFSET(AD41,0,-1)+1</f>
        <v>2</v>
      </c>
      <c r="AE41" s="2898"/>
      <c r="AF41" s="2108">
        <f>OFFSET(AF41,0,-2)+1</f>
        <v>3</v>
      </c>
      <c r="AG41" s="2108">
        <f>OFFSET(AG41,0,-1)+1</f>
        <v>4</v>
      </c>
      <c r="AH41" s="2582"/>
      <c r="AI41" s="2582"/>
      <c r="AJ41" s="2582"/>
      <c r="AK41" s="2582"/>
      <c r="AL41" s="2582"/>
      <c r="AM41" s="2108">
        <f>OFFSET(AM41,0,-1)+1</f>
        <v>1</v>
      </c>
      <c r="AN41" s="2108">
        <f>OFFSET(AN41,0,-1)+1</f>
        <v>2</v>
      </c>
      <c r="AO41" s="2898">
        <f>OFFSET(AO41,0,-1)+1</f>
        <v>3</v>
      </c>
      <c r="AP41" s="2898"/>
      <c r="AQ41" s="2108">
        <f>OFFSET(AQ41,0,-2)+1</f>
        <v>4</v>
      </c>
      <c r="AR41" s="1871">
        <f>OFFSET(AR41,0,-1)</f>
        <v>4</v>
      </c>
      <c r="AS41" s="2108">
        <f>OFFSET(AS41,0,-1)+1</f>
        <v>5</v>
      </c>
      <c r="AT41" s="1137"/>
      <c r="AU41" s="1137"/>
      <c r="AV41" s="1137"/>
      <c r="AW41" s="1137"/>
      <c r="AX41" s="1137"/>
      <c r="AY41" s="1122">
        <v>0</v>
      </c>
    </row>
    <row customHeight="1" ht="24">
      <c r="A42" s="1989" t="s">
        <v>269</v>
      </c>
      <c r="B42" s="1989"/>
      <c r="C42" s="1989"/>
      <c r="D42" s="1989"/>
      <c r="E42" s="2884">
        <v>1</v>
      </c>
      <c r="F42" s="1989"/>
      <c r="G42" s="1989"/>
      <c r="H42" s="1989"/>
      <c r="I42" s="1989"/>
      <c r="J42" s="1989"/>
      <c r="K42" s="1989"/>
      <c r="L42" s="1990"/>
      <c r="M42" s="1991"/>
      <c r="N42" s="1991"/>
      <c r="O42" s="1991"/>
      <c r="P42" s="987"/>
      <c r="Q42" s="986"/>
      <c r="R42" s="981"/>
      <c r="S42" s="2119">
        <f>INDEX(PT_DIFFERENTIATION_NUM_NTAR,MATCH(A42,PT_DIFFERENTIATION_NTAR_ID,0))</f>
        <v>0</v>
      </c>
      <c r="T42" s="924" t="s">
        <v>143</v>
      </c>
      <c r="U42" s="926"/>
      <c r="V42" s="2868"/>
      <c r="W42" s="2869"/>
      <c r="X42" s="2869"/>
      <c r="Y42" s="2869"/>
      <c r="Z42" s="2869"/>
      <c r="AA42" s="2869"/>
      <c r="AB42" s="2869"/>
      <c r="AC42" s="2869"/>
      <c r="AD42" s="2869"/>
      <c r="AE42" s="2869"/>
      <c r="AF42" s="2870"/>
      <c r="AG42" s="2868" t="str">
        <f>INDEX(PT_DIFFERENTIATION_NTAR,MATCH(A42,PT_DIFFERENTIATION_NTAR_ID,0))</f>
        <v/>
      </c>
      <c r="AH42" s="2869"/>
      <c r="AI42" s="2869"/>
      <c r="AJ42" s="2869"/>
      <c r="AK42" s="2869"/>
      <c r="AL42" s="2869"/>
      <c r="AM42" s="2869"/>
      <c r="AN42" s="2869"/>
      <c r="AO42" s="2869"/>
      <c r="AP42" s="2869"/>
      <c r="AQ42" s="2869"/>
      <c r="AR42" s="2870"/>
      <c r="AS4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126"/>
      <c r="AV42" s="1126" t="str">
        <f>IF(T42="","",T42)</f>
        <v>Наименование тарифа</v>
      </c>
      <c r="AW42" s="1126"/>
      <c r="AX42" s="1126"/>
      <c r="AY42" s="1781">
        <v>23</v>
      </c>
    </row>
    <row customHeight="1" ht="24">
      <c r="A43" s="1989" t="s">
        <v>269</v>
      </c>
      <c r="B43" s="1989" t="s">
        <v>270</v>
      </c>
      <c r="C43" s="1989"/>
      <c r="D43" s="1989"/>
      <c r="E43" s="2885"/>
      <c r="F43" s="2884">
        <v>1</v>
      </c>
      <c r="G43" s="1989"/>
      <c r="H43" s="1989"/>
      <c r="I43" s="1989"/>
      <c r="J43" s="1989"/>
      <c r="K43" s="1989"/>
      <c r="L43" s="1990"/>
      <c r="M43" s="1991"/>
      <c r="N43" s="1991"/>
      <c r="O43" s="1991"/>
      <c r="P43" s="2113"/>
      <c r="Q43" s="978"/>
      <c r="R43" s="979"/>
      <c r="S43" s="2119" t="str">
        <f>INDEX(PT_DIFFERENTIATION_NUM_TER,MATCH(B43,PT_DIFFERENTIATION_TER_ID,0))</f>
        <v>.</v>
      </c>
      <c r="T43" s="934" t="s">
        <v>415</v>
      </c>
      <c r="U43" s="926"/>
      <c r="V43" s="2868"/>
      <c r="W43" s="2869"/>
      <c r="X43" s="2869"/>
      <c r="Y43" s="2869"/>
      <c r="Z43" s="2869"/>
      <c r="AA43" s="2869"/>
      <c r="AB43" s="2869"/>
      <c r="AC43" s="2869"/>
      <c r="AD43" s="2869"/>
      <c r="AE43" s="2869"/>
      <c r="AF43" s="2870"/>
      <c r="AG43" s="2868" t="str">
        <f>INDEX(PT_DIFFERENTIATION_TER,MATCH(B43,PT_DIFFERENTIATION_TER_ID,0))</f>
        <v/>
      </c>
      <c r="AH43" s="2869"/>
      <c r="AI43" s="2869"/>
      <c r="AJ43" s="2869"/>
      <c r="AK43" s="2869"/>
      <c r="AL43" s="2869"/>
      <c r="AM43" s="2869"/>
      <c r="AN43" s="2869"/>
      <c r="AO43" s="2869"/>
      <c r="AP43" s="2869"/>
      <c r="AQ43" s="2869"/>
      <c r="AR43" s="2870"/>
      <c r="AS43" s="1884" t="s">
        <v>416</v>
      </c>
      <c r="AU43" s="1126"/>
      <c r="AV43" s="1126" t="str">
        <f>IF(T43="","",T43)</f>
        <v>Территория действия тарифа</v>
      </c>
      <c r="AW43" s="1126"/>
      <c r="AX43" s="1126"/>
      <c r="AY43" s="1781">
        <v>23</v>
      </c>
    </row>
    <row customHeight="1" ht="24">
      <c r="A44" s="1989" t="s">
        <v>269</v>
      </c>
      <c r="B44" s="1989" t="s">
        <v>270</v>
      </c>
      <c r="C44" s="1989" t="s">
        <v>271</v>
      </c>
      <c r="D44" s="1989"/>
      <c r="E44" s="2885"/>
      <c r="F44" s="2885"/>
      <c r="G44" s="2884">
        <v>1</v>
      </c>
      <c r="H44" s="1989"/>
      <c r="I44" s="1989"/>
      <c r="J44" s="1989"/>
      <c r="K44" s="1989"/>
      <c r="L44" s="1990"/>
      <c r="M44" s="1991"/>
      <c r="N44" s="1991"/>
      <c r="O44" s="1991"/>
      <c r="P44" s="980"/>
      <c r="Q44" s="978"/>
      <c r="R44" s="979"/>
      <c r="S44" s="2119" t="str">
        <f>INDEX(PT_DIFFERENTIATION_NUM_CS,MATCH(C44,PT_DIFFERENTIATION_CS_ID,0))</f>
        <v>..</v>
      </c>
      <c r="T44" s="935" t="s">
        <v>548</v>
      </c>
      <c r="U44" s="926"/>
      <c r="V44" s="2868"/>
      <c r="W44" s="2869"/>
      <c r="X44" s="2869"/>
      <c r="Y44" s="2869"/>
      <c r="Z44" s="2869"/>
      <c r="AA44" s="2869"/>
      <c r="AB44" s="2869"/>
      <c r="AC44" s="2869"/>
      <c r="AD44" s="2869"/>
      <c r="AE44" s="2869"/>
      <c r="AF44" s="2870"/>
      <c r="AG44" s="2868" t="str">
        <f>INDEX(PT_DIFFERENTIATION_CS,MATCH(C44,PT_DIFFERENTIATION_CS_ID,0))</f>
        <v/>
      </c>
      <c r="AH44" s="2869"/>
      <c r="AI44" s="2869"/>
      <c r="AJ44" s="2869"/>
      <c r="AK44" s="2869"/>
      <c r="AL44" s="2869"/>
      <c r="AM44" s="2869"/>
      <c r="AN44" s="2869"/>
      <c r="AO44" s="2869"/>
      <c r="AP44" s="2869"/>
      <c r="AQ44" s="2869"/>
      <c r="AR44" s="2870"/>
      <c r="AS44" s="1884" t="s">
        <v>549</v>
      </c>
      <c r="AU44" s="1126"/>
      <c r="AV44" s="1126" t="str">
        <f>IF(T44="","",T44)</f>
        <v>Наименование централизованной системы горячего водоснабжения</v>
      </c>
      <c r="AW44" s="1126"/>
      <c r="AX44" s="1126"/>
      <c r="AY44" s="1781">
        <v>23</v>
      </c>
    </row>
    <row customHeight="1" ht="24">
      <c r="A45" s="1989" t="s">
        <v>269</v>
      </c>
      <c r="B45" s="1989" t="s">
        <v>270</v>
      </c>
      <c r="C45" s="1989" t="s">
        <v>271</v>
      </c>
      <c r="D45" s="1989" t="s">
        <v>560</v>
      </c>
      <c r="E45" s="2885"/>
      <c r="F45" s="2885"/>
      <c r="G45" s="2885"/>
      <c r="H45" s="2885"/>
      <c r="I45" s="2882" t="str">
        <f>S44&amp;".1"</f>
        <v>...1</v>
      </c>
      <c r="J45" s="1989"/>
      <c r="K45" s="1989"/>
      <c r="L45" s="1990"/>
      <c r="P45" s="2883">
        <v>1</v>
      </c>
      <c r="Q45" s="2107"/>
      <c r="R45" s="982"/>
      <c r="S45" s="2119" t="str">
        <f>$I45</f>
        <v>...1</v>
      </c>
      <c r="T45" s="911" t="s">
        <v>501</v>
      </c>
      <c r="U45" s="926"/>
      <c r="V45" s="2976"/>
      <c r="W45" s="2977"/>
      <c r="X45" s="2977"/>
      <c r="Y45" s="2977"/>
      <c r="Z45" s="2977"/>
      <c r="AA45" s="2977"/>
      <c r="AB45" s="2977"/>
      <c r="AC45" s="2977"/>
      <c r="AD45" s="2977"/>
      <c r="AE45" s="2977"/>
      <c r="AF45" s="2978"/>
      <c r="AG45" s="2979"/>
      <c r="AH45" s="2980"/>
      <c r="AI45" s="2980"/>
      <c r="AJ45" s="2980"/>
      <c r="AK45" s="2980"/>
      <c r="AL45" s="2980"/>
      <c r="AM45" s="2980"/>
      <c r="AN45" s="2980"/>
      <c r="AO45" s="2980"/>
      <c r="AP45" s="2980"/>
      <c r="AQ45" s="2980"/>
      <c r="AR45" s="2981"/>
      <c r="AS45" s="1884" t="s">
        <v>502</v>
      </c>
      <c r="AU45" s="1126"/>
      <c r="AV45" s="1126" t="str">
        <f>IF(T45="","",T45)</f>
        <v>Наименование признака дифференциации</v>
      </c>
      <c r="AW45" s="1126"/>
      <c r="AX45" s="1126"/>
      <c r="AY45" s="1781">
        <v>23</v>
      </c>
    </row>
    <row customHeight="1" ht="24">
      <c r="A46" s="1989" t="s">
        <v>269</v>
      </c>
      <c r="B46" s="1989" t="s">
        <v>270</v>
      </c>
      <c r="C46" s="1989" t="s">
        <v>271</v>
      </c>
      <c r="D46" s="1989" t="s">
        <v>560</v>
      </c>
      <c r="E46" s="2885"/>
      <c r="F46" s="2885"/>
      <c r="G46" s="2885"/>
      <c r="H46" s="2885"/>
      <c r="I46" s="2912"/>
      <c r="J46" s="2882" t="str">
        <f>I45&amp;".1"</f>
        <v>...1.1</v>
      </c>
      <c r="K46" s="1989"/>
      <c r="L46" s="1990" t="s">
        <v>424</v>
      </c>
      <c r="P46" s="2883"/>
      <c r="Q46" s="2883">
        <v>1</v>
      </c>
      <c r="R46" s="983"/>
      <c r="S46" s="2119" t="str">
        <f>$J46</f>
        <v>...1.1</v>
      </c>
      <c r="T46" s="912" t="s">
        <v>425</v>
      </c>
      <c r="U46" s="926"/>
      <c r="V46" s="2871"/>
      <c r="W46" s="2872"/>
      <c r="X46" s="2872"/>
      <c r="Y46" s="2872"/>
      <c r="Z46" s="2872"/>
      <c r="AA46" s="2872"/>
      <c r="AB46" s="2872"/>
      <c r="AC46" s="2872"/>
      <c r="AD46" s="2872"/>
      <c r="AE46" s="2872"/>
      <c r="AF46" s="2873"/>
      <c r="AG46" s="2871"/>
      <c r="AH46" s="2872"/>
      <c r="AI46" s="2872"/>
      <c r="AJ46" s="2872"/>
      <c r="AK46" s="2872"/>
      <c r="AL46" s="2872"/>
      <c r="AM46" s="2872"/>
      <c r="AN46" s="2872"/>
      <c r="AO46" s="2872"/>
      <c r="AP46" s="2872"/>
      <c r="AQ46" s="2872"/>
      <c r="AR46" s="2873"/>
      <c r="AS46" s="1933" t="s">
        <v>503</v>
      </c>
      <c r="AU46" s="1126"/>
      <c r="AV46" s="1126" t="str">
        <f>IF(T46="","",T46)</f>
        <v>Группа потребителей</v>
      </c>
      <c r="AW46" s="1126"/>
      <c r="AX46" s="1126"/>
      <c r="AY46" s="1781">
        <v>23</v>
      </c>
    </row>
    <row customHeight="1" ht="24">
      <c r="A47" s="1989" t="s">
        <v>269</v>
      </c>
      <c r="B47" s="1989" t="s">
        <v>270</v>
      </c>
      <c r="C47" s="1989" t="s">
        <v>271</v>
      </c>
      <c r="D47" s="1989" t="s">
        <v>560</v>
      </c>
      <c r="E47" s="2885"/>
      <c r="F47" s="2885"/>
      <c r="G47" s="2885"/>
      <c r="H47" s="2885"/>
      <c r="I47" s="2912"/>
      <c r="J47" s="2912"/>
      <c r="K47" s="2882" t="str">
        <f>J46&amp;".1"</f>
        <v>...1.1.1</v>
      </c>
      <c r="L47" s="1990"/>
      <c r="P47" s="2883"/>
      <c r="Q47" s="2883"/>
      <c r="R47" s="983">
        <v>1</v>
      </c>
      <c r="S47" s="2119" t="str">
        <f>$K47</f>
        <v>...1.1.1</v>
      </c>
      <c r="T47" s="2063"/>
      <c r="U47" s="926"/>
      <c r="V47" s="1377"/>
      <c r="W47" s="1377"/>
      <c r="X47" s="1377"/>
      <c r="Y47" s="1377"/>
      <c r="Z47" s="1377"/>
      <c r="AA47" s="1377"/>
      <c r="AB47" s="1377"/>
      <c r="AC47" s="2893"/>
      <c r="AD47" s="2894" t="s">
        <v>66</v>
      </c>
      <c r="AE47" s="2893"/>
      <c r="AF47" s="2894" t="s">
        <v>66</v>
      </c>
      <c r="AG47" s="1377"/>
      <c r="AH47" s="1377"/>
      <c r="AI47" s="1377"/>
      <c r="AJ47" s="1377"/>
      <c r="AK47" s="1377"/>
      <c r="AL47" s="1377"/>
      <c r="AM47" s="1377"/>
      <c r="AN47" s="2891"/>
      <c r="AO47" s="2733" t="s">
        <v>66</v>
      </c>
      <c r="AP47" s="2913"/>
      <c r="AQ47" s="2733" t="s">
        <v>19</v>
      </c>
      <c r="AR47" s="2064"/>
      <c r="AS47"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137">
        <f>STRCHECKDATE(V48:AR48)</f>
      </c>
      <c r="AU47" s="1126"/>
      <c r="AV47" s="1126" t="str">
        <f>IF(T47="","",T47)</f>
        <v/>
      </c>
      <c r="AW47" s="1126"/>
      <c r="AX47" s="1126"/>
      <c r="AY47" s="1781">
        <v>23</v>
      </c>
    </row>
    <row customHeight="1" ht="0">
      <c r="A48" s="1989" t="s">
        <v>269</v>
      </c>
      <c r="B48" s="1989" t="s">
        <v>270</v>
      </c>
      <c r="C48" s="1989" t="s">
        <v>271</v>
      </c>
      <c r="D48" s="1989" t="s">
        <v>560</v>
      </c>
      <c r="E48" s="2885"/>
      <c r="F48" s="2885"/>
      <c r="G48" s="2885"/>
      <c r="H48" s="2885"/>
      <c r="I48" s="2912"/>
      <c r="J48" s="2912"/>
      <c r="K48" s="2882"/>
      <c r="L48" s="1990"/>
      <c r="P48" s="2883"/>
      <c r="Q48" s="2883"/>
      <c r="R48" s="983"/>
      <c r="S48" s="2116"/>
      <c r="T48" s="926"/>
      <c r="U48" s="926"/>
      <c r="V48" s="1986"/>
      <c r="W48" s="1986"/>
      <c r="X48" s="1986"/>
      <c r="Y48" s="1986"/>
      <c r="Z48" s="1986"/>
      <c r="AA48" s="1986"/>
      <c r="AB48" s="1986"/>
      <c r="AC48" s="2894"/>
      <c r="AD48" s="2894"/>
      <c r="AE48" s="2894"/>
      <c r="AF48" s="2894"/>
      <c r="AG48" s="951"/>
      <c r="AH48" s="951"/>
      <c r="AI48" s="951"/>
      <c r="AJ48" s="951"/>
      <c r="AK48" s="951"/>
      <c r="AL48" s="951"/>
      <c r="AM48" s="951"/>
      <c r="AN48" s="2892"/>
      <c r="AO48" s="2733"/>
      <c r="AP48" s="2914"/>
      <c r="AQ48" s="2733"/>
      <c r="AR48" s="2065"/>
      <c r="AS48" s="2975"/>
      <c r="AU48" s="1126"/>
      <c r="AV48" s="1126" t="str">
        <f>IF(T48="","",T48)</f>
        <v/>
      </c>
      <c r="AW48" s="1126"/>
      <c r="AX48" s="1126"/>
      <c r="AY48" s="1781">
        <v>0</v>
      </c>
    </row>
    <row customHeight="1" ht="21">
      <c r="A49" s="1989" t="s">
        <v>269</v>
      </c>
      <c r="B49" s="1989" t="s">
        <v>270</v>
      </c>
      <c r="C49" s="1989" t="s">
        <v>271</v>
      </c>
      <c r="D49" s="1989" t="s">
        <v>560</v>
      </c>
      <c r="E49" s="2885"/>
      <c r="F49" s="2885"/>
      <c r="G49" s="2885"/>
      <c r="H49" s="2885"/>
      <c r="I49" s="2912"/>
      <c r="J49" s="2882"/>
      <c r="K49" s="1989"/>
      <c r="L49" s="1990"/>
      <c r="P49" s="2883"/>
      <c r="Q49" s="2883"/>
      <c r="R49" s="982"/>
      <c r="S49" s="1904"/>
      <c r="T49" s="913" t="s">
        <v>504</v>
      </c>
      <c r="U49" s="993"/>
      <c r="V49" s="993"/>
      <c r="W49" s="1226"/>
      <c r="X49" s="1226"/>
      <c r="Y49" s="1226"/>
      <c r="Z49" s="1226"/>
      <c r="AA49" s="1226"/>
      <c r="AB49" s="1226"/>
      <c r="AC49" s="993"/>
      <c r="AD49" s="993"/>
      <c r="AE49" s="993"/>
      <c r="AF49" s="993"/>
      <c r="AG49" s="993"/>
      <c r="AH49" s="1226"/>
      <c r="AI49" s="1226"/>
      <c r="AJ49" s="1226"/>
      <c r="AK49" s="1226"/>
      <c r="AL49" s="1226"/>
      <c r="AM49" s="993"/>
      <c r="AN49" s="993"/>
      <c r="AO49" s="993"/>
      <c r="AP49" s="993"/>
      <c r="AQ49" s="993"/>
      <c r="AR49" s="993"/>
      <c r="AS49" s="1884" t="s">
        <v>505</v>
      </c>
      <c r="AU49" s="1126"/>
      <c r="AV49" s="1126" t="str">
        <f>IF(T49="","",T49)</f>
        <v>Добавить значение признака дифференциации</v>
      </c>
      <c r="AW49" s="1126"/>
      <c r="AX49" s="1126"/>
      <c r="AY49" s="1781">
        <v>20</v>
      </c>
    </row>
    <row customHeight="1" ht="22.049999999999997">
      <c r="A50" s="1989" t="s">
        <v>269</v>
      </c>
      <c r="B50" s="1989" t="s">
        <v>270</v>
      </c>
      <c r="C50" s="1989" t="s">
        <v>271</v>
      </c>
      <c r="D50" s="1989" t="s">
        <v>560</v>
      </c>
      <c r="E50" s="2885"/>
      <c r="F50" s="2885"/>
      <c r="G50" s="2885"/>
      <c r="H50" s="2885"/>
      <c r="I50" s="2882"/>
      <c r="J50" s="1989"/>
      <c r="K50" s="1989"/>
      <c r="L50" s="1990"/>
      <c r="P50" s="2883"/>
      <c r="Q50" s="2107"/>
      <c r="R50" s="982"/>
      <c r="S50" s="1904"/>
      <c r="T50" s="991" t="s">
        <v>430</v>
      </c>
      <c r="U50" s="993"/>
      <c r="V50" s="993"/>
      <c r="W50" s="1226"/>
      <c r="X50" s="1226"/>
      <c r="Y50" s="1226"/>
      <c r="Z50" s="1226"/>
      <c r="AA50" s="1226"/>
      <c r="AB50" s="1226"/>
      <c r="AC50" s="993"/>
      <c r="AD50" s="993"/>
      <c r="AE50" s="993"/>
      <c r="AF50" s="992"/>
      <c r="AG50" s="993"/>
      <c r="AH50" s="1226"/>
      <c r="AI50" s="1226"/>
      <c r="AJ50" s="1226"/>
      <c r="AK50" s="1226"/>
      <c r="AL50" s="1226"/>
      <c r="AM50" s="993"/>
      <c r="AN50" s="993"/>
      <c r="AO50" s="993"/>
      <c r="AP50" s="993"/>
      <c r="AQ50" s="992"/>
      <c r="AR50" s="993"/>
      <c r="AS50" s="2066"/>
      <c r="AU50" s="1126"/>
      <c r="AV50" s="1126" t="str">
        <f>IF(T50="","",T50)</f>
        <v>Добавить группу потребителей</v>
      </c>
      <c r="AW50" s="1126"/>
      <c r="AX50" s="1126"/>
      <c r="AY50" s="1781">
        <v>21</v>
      </c>
    </row>
    <row customHeight="1" ht="22.049999999999997">
      <c r="A51" s="1989" t="s">
        <v>269</v>
      </c>
      <c r="B51" s="1989" t="s">
        <v>270</v>
      </c>
      <c r="C51" s="1989" t="s">
        <v>271</v>
      </c>
      <c r="D51" s="1989" t="s">
        <v>560</v>
      </c>
      <c r="E51" s="2885"/>
      <c r="F51" s="2885"/>
      <c r="G51" s="2885"/>
      <c r="H51" s="2884"/>
      <c r="I51" s="1989"/>
      <c r="J51" s="1989"/>
      <c r="K51" s="1989"/>
      <c r="L51" s="1990"/>
      <c r="M51" s="1991"/>
      <c r="N51" s="1991"/>
      <c r="O51" s="1163"/>
      <c r="P51" s="986"/>
      <c r="Q51" s="1001"/>
      <c r="R51" s="981"/>
      <c r="S51" s="1904"/>
      <c r="T51" s="998" t="s">
        <v>506</v>
      </c>
      <c r="U51" s="993"/>
      <c r="V51" s="993"/>
      <c r="W51" s="1226"/>
      <c r="X51" s="1226"/>
      <c r="Y51" s="1226"/>
      <c r="Z51" s="1226"/>
      <c r="AA51" s="1226"/>
      <c r="AB51" s="1226"/>
      <c r="AC51" s="993"/>
      <c r="AD51" s="993"/>
      <c r="AE51" s="993"/>
      <c r="AF51" s="992"/>
      <c r="AG51" s="993"/>
      <c r="AH51" s="1226"/>
      <c r="AI51" s="1226"/>
      <c r="AJ51" s="1226"/>
      <c r="AK51" s="1226"/>
      <c r="AL51" s="1226"/>
      <c r="AM51" s="993"/>
      <c r="AN51" s="993"/>
      <c r="AO51" s="993"/>
      <c r="AP51" s="993"/>
      <c r="AQ51" s="992"/>
      <c r="AR51" s="993"/>
      <c r="AS51" s="929"/>
      <c r="AU51" s="1126"/>
      <c r="AV51" s="1126" t="str">
        <f>IF(T51="","",T51)</f>
        <v>Добавить наименование признака дифференциации</v>
      </c>
      <c r="AW51" s="1126"/>
      <c r="AX51" s="1126"/>
      <c r="AY51" s="1781">
        <v>21</v>
      </c>
    </row>
    <row s="34658" customFormat="1" customHeight="1" ht="0">
      <c r="A52" s="1969" t="s">
        <v>269</v>
      </c>
      <c r="B52" s="1969" t="s">
        <v>270</v>
      </c>
      <c r="C52" s="1940"/>
      <c r="D52" s="1940"/>
      <c r="E52" s="2885"/>
      <c r="F52" s="2884"/>
      <c r="G52" s="1940"/>
      <c r="H52" s="1940"/>
      <c r="I52" s="1940"/>
      <c r="J52" s="1940"/>
      <c r="K52" s="1940"/>
      <c r="L52" s="2120"/>
      <c r="M52" s="1947"/>
      <c r="N52" s="1947"/>
      <c r="P52" s="1942"/>
      <c r="Q52" s="1943"/>
      <c r="R52" s="1942"/>
      <c r="S52" s="1948"/>
      <c r="T52" s="1951" t="s">
        <v>433</v>
      </c>
      <c r="U52" s="1950"/>
      <c r="V52" s="1950"/>
      <c r="W52" s="1950"/>
      <c r="X52" s="1950"/>
      <c r="Y52" s="1950"/>
      <c r="Z52" s="1950"/>
      <c r="AA52" s="1950"/>
      <c r="AB52" s="1950"/>
      <c r="AC52" s="1950"/>
      <c r="AD52" s="1950"/>
      <c r="AE52" s="1950"/>
      <c r="AF52" s="1950"/>
      <c r="AG52" s="1950"/>
      <c r="AH52" s="1950"/>
      <c r="AI52" s="1950"/>
      <c r="AJ52" s="1950"/>
      <c r="AK52" s="1950"/>
      <c r="AL52" s="1950"/>
      <c r="AM52" s="1950"/>
      <c r="AN52" s="1950"/>
      <c r="AO52" s="1950"/>
      <c r="AP52" s="1950"/>
      <c r="AQ52" s="1950"/>
      <c r="AR52" s="1950"/>
      <c r="AS52" s="1950"/>
      <c r="AU52" s="1415"/>
      <c r="AV52" s="1415" t="str">
        <f>IF(T52="","",T52)</f>
        <v>Добавить централизованную систему для дифференциации</v>
      </c>
      <c r="AW52" s="1415"/>
      <c r="AX52" s="1415"/>
      <c r="AY52" s="1144">
        <v>0</v>
      </c>
    </row>
    <row s="34658" customFormat="1" customHeight="1" ht="0">
      <c r="A53" s="1969" t="s">
        <v>269</v>
      </c>
      <c r="B53" s="1969"/>
      <c r="C53" s="1969"/>
      <c r="D53" s="1969"/>
      <c r="E53" s="2884"/>
      <c r="F53" s="1969"/>
      <c r="G53" s="1969"/>
      <c r="H53" s="1969"/>
      <c r="I53" s="1969"/>
      <c r="J53" s="1969"/>
      <c r="K53" s="1969"/>
      <c r="L53" s="1972"/>
      <c r="M53" s="1947"/>
      <c r="N53" s="1947"/>
      <c r="O53" s="1144"/>
      <c r="P53" s="1006"/>
      <c r="Q53" s="1970"/>
      <c r="R53" s="1006"/>
      <c r="S53" s="1948"/>
      <c r="T53" s="1951" t="s">
        <v>434</v>
      </c>
      <c r="U53" s="1950"/>
      <c r="V53" s="1950"/>
      <c r="W53" s="1950"/>
      <c r="X53" s="1950"/>
      <c r="Y53" s="1950"/>
      <c r="Z53" s="1950"/>
      <c r="AA53" s="1950"/>
      <c r="AB53" s="1950"/>
      <c r="AC53" s="1950"/>
      <c r="AD53" s="1950"/>
      <c r="AE53" s="1950"/>
      <c r="AF53" s="1950"/>
      <c r="AG53" s="1950"/>
      <c r="AH53" s="1950"/>
      <c r="AI53" s="1950"/>
      <c r="AJ53" s="1950"/>
      <c r="AK53" s="1950"/>
      <c r="AL53" s="1950"/>
      <c r="AM53" s="1950"/>
      <c r="AN53" s="1950"/>
      <c r="AO53" s="1950"/>
      <c r="AP53" s="1950"/>
      <c r="AQ53" s="1950"/>
      <c r="AR53" s="1950"/>
      <c r="AS53" s="1950"/>
      <c r="AU53" s="1126"/>
      <c r="AV53" s="1126" t="str">
        <f>IF(T53="","",T53)</f>
        <v>Добавить территорию для дифференциации</v>
      </c>
      <c r="AW53" s="1126"/>
      <c r="AX53" s="1126"/>
      <c r="AY53" s="1137">
        <v>0</v>
      </c>
    </row>
    <row s="34658" customFormat="1" customHeight="1" ht="0">
      <c r="A54" s="1940"/>
      <c r="B54" s="1940"/>
      <c r="C54" s="1940"/>
      <c r="D54" s="1940"/>
      <c r="E54" s="1969"/>
      <c r="F54" s="1940"/>
      <c r="G54" s="1940"/>
      <c r="H54" s="1940"/>
      <c r="I54" s="1940"/>
      <c r="J54" s="1940"/>
      <c r="K54" s="1940"/>
      <c r="L54" s="2120"/>
      <c r="M54" s="1947"/>
      <c r="N54" s="1947"/>
      <c r="P54" s="1942"/>
      <c r="Q54" s="1943"/>
      <c r="R54" s="1942"/>
      <c r="S54" s="1948"/>
      <c r="T54" s="1951" t="s">
        <v>466</v>
      </c>
      <c r="U54" s="1950"/>
      <c r="V54" s="1950"/>
      <c r="W54" s="1950"/>
      <c r="X54" s="1950"/>
      <c r="Y54" s="1950"/>
      <c r="Z54" s="1950"/>
      <c r="AA54" s="1950"/>
      <c r="AB54" s="1950"/>
      <c r="AC54" s="1950"/>
      <c r="AD54" s="1950"/>
      <c r="AE54" s="1950"/>
      <c r="AF54" s="1950"/>
      <c r="AG54" s="1950"/>
      <c r="AH54" s="1950"/>
      <c r="AI54" s="1950"/>
      <c r="AJ54" s="1950"/>
      <c r="AK54" s="1950"/>
      <c r="AL54" s="1950"/>
      <c r="AM54" s="1950"/>
      <c r="AN54" s="1950"/>
      <c r="AO54" s="1950"/>
      <c r="AP54" s="1950"/>
      <c r="AQ54" s="1950"/>
      <c r="AR54" s="1950"/>
      <c r="AS54" s="1950"/>
      <c r="AU54" s="1415"/>
      <c r="AV54" s="1415" t="str">
        <f>IF(T54="","",T54)</f>
        <v>Добавить наименование тарифа</v>
      </c>
      <c r="AW54" s="1415"/>
      <c r="AX54" s="1415"/>
      <c r="AY54" s="1144">
        <v>0</v>
      </c>
    </row>
    <row customHeight="1" ht="11.549999999999999">
      <c r="M55" s="1786"/>
      <c r="N55" s="1786"/>
      <c r="O55" s="1163"/>
      <c r="P55" s="1781"/>
      <c r="Q55" s="1781"/>
      <c r="R55" s="1781"/>
      <c r="S55" s="1781"/>
      <c r="AT55" s="1781"/>
      <c r="AU55" s="1781"/>
      <c r="AV55" s="1781"/>
      <c r="AW55" s="1781"/>
      <c r="AX55" s="1781"/>
      <c r="AY55" s="1781">
        <v>11</v>
      </c>
    </row>
    <row customHeight="1" ht="14.699999999999998">
      <c r="O56" s="1163"/>
      <c r="S56" s="1879"/>
      <c r="T56" s="2911"/>
      <c r="U56" s="2911"/>
      <c r="V56" s="2911"/>
      <c r="W56" s="2911"/>
      <c r="X56" s="2911"/>
      <c r="Y56" s="2911"/>
      <c r="Z56" s="2911"/>
      <c r="AA56" s="2911"/>
      <c r="AB56" s="2911"/>
      <c r="AC56" s="2911"/>
      <c r="AD56" s="2911"/>
      <c r="AE56" s="2911"/>
      <c r="AF56" s="2911"/>
      <c r="AG56" s="2911"/>
      <c r="AH56" s="2911"/>
      <c r="AI56" s="2911"/>
      <c r="AJ56" s="2911"/>
      <c r="AK56" s="2911"/>
      <c r="AL56" s="2911"/>
      <c r="AM56" s="2911"/>
      <c r="AN56" s="2911"/>
      <c r="AO56" s="2911"/>
      <c r="AP56" s="2911"/>
      <c r="AQ56" s="2911"/>
      <c r="AR56" s="2911"/>
      <c r="AS56" s="2911"/>
      <c r="AY56" s="1781">
        <v>14</v>
      </c>
    </row>
    <row customHeight="1" ht="14.699999999999998">
      <c r="O57" s="1163"/>
      <c r="AY57" s="1781">
        <v>14</v>
      </c>
    </row>
    <row customHeight="1" ht="14.699999999999998">
      <c r="O58" s="1163"/>
      <c r="S58" s="1879"/>
      <c r="T58" s="2911"/>
      <c r="U58" s="2911"/>
      <c r="V58" s="2911"/>
      <c r="W58" s="2911"/>
      <c r="X58" s="2911"/>
      <c r="Y58" s="2911"/>
      <c r="Z58" s="2911"/>
      <c r="AA58" s="2911"/>
      <c r="AB58" s="2911"/>
      <c r="AC58" s="2911"/>
      <c r="AD58" s="2911"/>
      <c r="AE58" s="2911"/>
      <c r="AF58" s="2911"/>
      <c r="AG58" s="2911"/>
      <c r="AH58" s="2911"/>
      <c r="AI58" s="2911"/>
      <c r="AJ58" s="2911"/>
      <c r="AK58" s="2911"/>
      <c r="AL58" s="2911"/>
      <c r="AM58" s="2911"/>
      <c r="AN58" s="2911"/>
      <c r="AO58" s="2911"/>
      <c r="AP58" s="2911"/>
      <c r="AQ58" s="2911"/>
      <c r="AR58" s="2911"/>
      <c r="AS58" s="2911"/>
      <c r="AY58" s="1781">
        <v>14</v>
      </c>
    </row>
    <row customHeight="1" ht="22.5" hidden="1">
      <c r="A59" s="1786" t="s">
        <v>82</v>
      </c>
      <c r="B59" s="1786">
        <v>0</v>
      </c>
      <c r="C59" s="1786">
        <v>0</v>
      </c>
      <c r="D59" s="1786">
        <v>0</v>
      </c>
      <c r="E59" s="1786">
        <v>0</v>
      </c>
      <c r="F59" s="1786">
        <v>0</v>
      </c>
      <c r="G59" s="1786">
        <v>0</v>
      </c>
      <c r="H59" s="1786">
        <v>0</v>
      </c>
      <c r="I59" s="1786">
        <v>0</v>
      </c>
      <c r="J59" s="1786">
        <v>0</v>
      </c>
      <c r="K59" s="1786">
        <v>0</v>
      </c>
      <c r="L59" s="2104">
        <v>0</v>
      </c>
      <c r="M59" s="1988">
        <v>0</v>
      </c>
      <c r="N59" s="1988">
        <v>0</v>
      </c>
      <c r="O59" s="1988">
        <v>0</v>
      </c>
      <c r="P59" s="2099">
        <v>3</v>
      </c>
      <c r="Q59" s="970">
        <v>3</v>
      </c>
      <c r="R59" s="970">
        <v>3</v>
      </c>
      <c r="S59" s="1207">
        <v>12</v>
      </c>
      <c r="T59" s="1781">
        <v>35</v>
      </c>
      <c r="U59" s="1781">
        <v>0</v>
      </c>
      <c r="V59" s="1781">
        <v>0</v>
      </c>
      <c r="W59" s="2257">
        <v>0</v>
      </c>
      <c r="X59" s="2257">
        <v>0</v>
      </c>
      <c r="Y59" s="2257">
        <v>0</v>
      </c>
      <c r="Z59" s="2257">
        <v>0</v>
      </c>
      <c r="AA59" s="2257">
        <v>0</v>
      </c>
      <c r="AB59" s="2257">
        <v>0</v>
      </c>
      <c r="AC59" s="1781">
        <v>0</v>
      </c>
      <c r="AD59" s="1781">
        <v>0</v>
      </c>
      <c r="AE59" s="1781">
        <v>0</v>
      </c>
      <c r="AF59" s="1781">
        <v>0</v>
      </c>
      <c r="AG59" s="1781">
        <v>19</v>
      </c>
      <c r="AH59" s="2257">
        <v>19</v>
      </c>
      <c r="AI59" s="2257">
        <v>19</v>
      </c>
      <c r="AJ59" s="2257">
        <v>19</v>
      </c>
      <c r="AK59" s="2257">
        <v>19</v>
      </c>
      <c r="AL59" s="2257">
        <v>19</v>
      </c>
      <c r="AM59" s="1781">
        <v>19</v>
      </c>
      <c r="AN59" s="1781">
        <v>11</v>
      </c>
      <c r="AO59" s="1781">
        <v>3</v>
      </c>
      <c r="AP59" s="1781">
        <v>11</v>
      </c>
      <c r="AQ59" s="1781">
        <v>0</v>
      </c>
      <c r="AR59" s="1781">
        <v>4</v>
      </c>
      <c r="AS59" s="1781">
        <v>115</v>
      </c>
      <c r="AT59" s="1137">
        <v>10</v>
      </c>
      <c r="AU59" s="1137">
        <v>10</v>
      </c>
      <c r="AV59" s="1137">
        <v>10</v>
      </c>
      <c r="AW59" s="1137">
        <v>10</v>
      </c>
      <c r="AX59" s="1137">
        <v>10</v>
      </c>
      <c r="AY59" s="1781">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187C3F-0FEF-A699-1964-9BD11292370F}"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4.140625" hidden="1" customWidth="1"/>
    <col min="10" max="10" style="34657" width="9.8515625" hidden="1" customWidth="1"/>
    <col min="11" max="11" style="34657" width="14.7109375" hidden="1" customWidth="1"/>
    <col min="12" max="12" style="35439" width="19.140625" hidden="1" customWidth="1"/>
    <col min="13" max="14" style="35440" width="12.28125" hidden="1" customWidth="1"/>
    <col min="15" max="15" style="35440" width="23.421875" hidden="1" customWidth="1"/>
    <col min="16" max="16" style="35441" width="3.00390625" customWidth="1"/>
    <col min="17" max="18" style="35442" width="3.00390625" customWidth="1"/>
    <col min="19" max="19" style="35443" width="12.00390625" customWidth="1"/>
    <col min="20" max="20" style="34580" width="35.00390625" customWidth="1"/>
    <col min="21" max="21" style="34580" width="0.140625" customWidth="1"/>
    <col min="22" max="28" style="34580" width="19.7109375" hidden="1" customWidth="1"/>
    <col min="29" max="29" style="34580" width="11.7109375" hidden="1" customWidth="1"/>
    <col min="30" max="30" style="34580" width="3.7109375" hidden="1" customWidth="1"/>
    <col min="31" max="31" style="34580" width="11.7109375" hidden="1" customWidth="1"/>
    <col min="32" max="32" style="34580" width="8.57421875" hidden="1" customWidth="1"/>
    <col min="33" max="33" style="34580" width="19.7109375" customWidth="1"/>
    <col min="34" max="39" style="34580" width="19.00390625" customWidth="1"/>
    <col min="40" max="40" style="34580" width="11.00390625" customWidth="1"/>
    <col min="41" max="41" style="34580" width="3.7109375" customWidth="1"/>
    <col min="42" max="42" style="34580" width="11.00390625" customWidth="1"/>
    <col min="43" max="43" style="34580" width="8.57421875" hidden="1" customWidth="1"/>
    <col min="44" max="44" style="34580" width="4.00390625" customWidth="1"/>
    <col min="45" max="45" style="34580" width="115.00390625" customWidth="1"/>
    <col min="46" max="50" style="34658" width="10.00390625" customWidth="1"/>
    <col min="51" max="51" style="34580" width="10.57421875" hidden="1"/>
  </cols>
  <sheetData>
    <row customHeight="1" ht="22.5" hidden="1">
      <c r="AB1" s="953"/>
      <c r="AC1" s="953"/>
      <c r="AM1" s="953"/>
      <c r="AN1" s="953"/>
      <c r="AY1" s="1781" t="s">
        <v>14</v>
      </c>
    </row>
    <row customHeight="1" ht="23.25" hidden="1">
      <c r="A2" s="1989"/>
      <c r="B2" s="1989"/>
      <c r="C2" s="1989"/>
      <c r="D2" s="1989"/>
      <c r="E2" s="2884">
        <v>1</v>
      </c>
      <c r="F2" s="1989"/>
      <c r="G2" s="1989"/>
      <c r="H2" s="1989"/>
      <c r="I2" s="1989"/>
      <c r="J2" s="1989"/>
      <c r="K2" s="1989"/>
      <c r="L2" s="1990"/>
      <c r="M2" s="1991"/>
      <c r="N2" s="1991"/>
      <c r="O2" s="1991"/>
      <c r="P2" s="987"/>
      <c r="Q2" s="986"/>
      <c r="R2" s="981"/>
      <c r="S2" s="2119">
        <f>INDEX(PT_DIFFERENTIATION_NUM_NTAR,MATCH(A2,PT_DIFFERENTIATION_NTAR_ID,0))</f>
      </c>
      <c r="T2" s="924" t="s">
        <v>143</v>
      </c>
      <c r="U2" s="926"/>
      <c r="V2" s="2868"/>
      <c r="W2" s="2869"/>
      <c r="X2" s="2869"/>
      <c r="Y2" s="2869"/>
      <c r="Z2" s="2869"/>
      <c r="AA2" s="2869"/>
      <c r="AB2" s="2869"/>
      <c r="AC2" s="2869"/>
      <c r="AD2" s="2869"/>
      <c r="AE2" s="2869"/>
      <c r="AF2" s="2870"/>
      <c r="AG2" s="2868">
        <f>INDEX(PT_DIFFERENTIATION_NTAR,MATCH(A2,PT_DIFFERENTIATION_NTAR_ID,0))</f>
      </c>
      <c r="AH2" s="2869"/>
      <c r="AI2" s="2869"/>
      <c r="AJ2" s="2869"/>
      <c r="AK2" s="2869"/>
      <c r="AL2" s="2869"/>
      <c r="AM2" s="2869"/>
      <c r="AN2" s="2869"/>
      <c r="AO2" s="2869"/>
      <c r="AP2" s="2869"/>
      <c r="AQ2" s="2869"/>
      <c r="AR2" s="2870"/>
      <c r="AS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126"/>
      <c r="AV2" s="1126" t="str">
        <f>IF(T2="","",T2)</f>
        <v>Наименование тарифа</v>
      </c>
      <c r="AW2" s="1126"/>
      <c r="AX2" s="1126"/>
      <c r="AY2" s="1781">
        <v>0</v>
      </c>
    </row>
    <row customHeight="1" ht="23.25" hidden="1">
      <c r="A3" s="1989"/>
      <c r="B3" s="1989"/>
      <c r="C3" s="1989"/>
      <c r="D3" s="1989"/>
      <c r="E3" s="2885"/>
      <c r="F3" s="2884">
        <v>1</v>
      </c>
      <c r="G3" s="1989"/>
      <c r="H3" s="1989"/>
      <c r="I3" s="1989"/>
      <c r="J3" s="1989"/>
      <c r="K3" s="1989"/>
      <c r="L3" s="1990"/>
      <c r="M3" s="1991"/>
      <c r="N3" s="1991"/>
      <c r="O3" s="1991"/>
      <c r="P3" s="2113"/>
      <c r="Q3" s="978"/>
      <c r="R3" s="979"/>
      <c r="S3" s="2119">
        <f>INDEX(PT_DIFFERENTIATION_NUM_TER,MATCH(B3,PT_DIFFERENTIATION_TER_ID,0))</f>
      </c>
      <c r="T3" s="934" t="s">
        <v>415</v>
      </c>
      <c r="U3" s="926"/>
      <c r="V3" s="2868"/>
      <c r="W3" s="2869"/>
      <c r="X3" s="2869"/>
      <c r="Y3" s="2869"/>
      <c r="Z3" s="2869"/>
      <c r="AA3" s="2869"/>
      <c r="AB3" s="2869"/>
      <c r="AC3" s="2869"/>
      <c r="AD3" s="2869"/>
      <c r="AE3" s="2869"/>
      <c r="AF3" s="2870"/>
      <c r="AG3" s="2868">
        <f>INDEX(PT_DIFFERENTIATION_TER,MATCH(B3,PT_DIFFERENTIATION_TER_ID,0))</f>
      </c>
      <c r="AH3" s="2869"/>
      <c r="AI3" s="2869"/>
      <c r="AJ3" s="2869"/>
      <c r="AK3" s="2869"/>
      <c r="AL3" s="2869"/>
      <c r="AM3" s="2869"/>
      <c r="AN3" s="2869"/>
      <c r="AO3" s="2869"/>
      <c r="AP3" s="2869"/>
      <c r="AQ3" s="2869"/>
      <c r="AR3" s="2870"/>
      <c r="AS3" s="1884" t="s">
        <v>416</v>
      </c>
      <c r="AU3" s="1126"/>
      <c r="AV3" s="1126" t="str">
        <f>IF(T3="","",T3)</f>
        <v>Территория действия тарифа</v>
      </c>
      <c r="AW3" s="1126"/>
      <c r="AX3" s="1126"/>
      <c r="AY3" s="1781">
        <v>0</v>
      </c>
    </row>
    <row customHeight="1" ht="23.25" hidden="1">
      <c r="A4" s="1989"/>
      <c r="B4" s="1989"/>
      <c r="C4" s="1989"/>
      <c r="D4" s="1989"/>
      <c r="E4" s="2885"/>
      <c r="F4" s="2885"/>
      <c r="G4" s="2884">
        <v>1</v>
      </c>
      <c r="H4" s="1989"/>
      <c r="I4" s="1989"/>
      <c r="J4" s="1989"/>
      <c r="K4" s="1989"/>
      <c r="L4" s="1990"/>
      <c r="M4" s="1991"/>
      <c r="N4" s="1991"/>
      <c r="O4" s="1991"/>
      <c r="P4" s="980"/>
      <c r="Q4" s="978"/>
      <c r="R4" s="979"/>
      <c r="S4" s="2119">
        <f>INDEX(PT_DIFFERENTIATION_NUM_CS,MATCH(C4,PT_DIFFERENTIATION_CS_ID,0))</f>
      </c>
      <c r="T4" s="935" t="s">
        <v>548</v>
      </c>
      <c r="U4" s="926"/>
      <c r="V4" s="2868"/>
      <c r="W4" s="2869"/>
      <c r="X4" s="2869"/>
      <c r="Y4" s="2869"/>
      <c r="Z4" s="2869"/>
      <c r="AA4" s="2869"/>
      <c r="AB4" s="2869"/>
      <c r="AC4" s="2869"/>
      <c r="AD4" s="2869"/>
      <c r="AE4" s="2869"/>
      <c r="AF4" s="2870"/>
      <c r="AG4" s="2868">
        <f>INDEX(PT_DIFFERENTIATION_CS,MATCH(C4,PT_DIFFERENTIATION_CS_ID,0))</f>
      </c>
      <c r="AH4" s="2869"/>
      <c r="AI4" s="2869"/>
      <c r="AJ4" s="2869"/>
      <c r="AK4" s="2869"/>
      <c r="AL4" s="2869"/>
      <c r="AM4" s="2869"/>
      <c r="AN4" s="2869"/>
      <c r="AO4" s="2869"/>
      <c r="AP4" s="2869"/>
      <c r="AQ4" s="2869"/>
      <c r="AR4" s="2870"/>
      <c r="AS4" s="1884" t="s">
        <v>549</v>
      </c>
      <c r="AU4" s="1126"/>
      <c r="AV4" s="1126" t="str">
        <f>IF(T4="","",T4)</f>
        <v>Наименование централизованной системы горячего водоснабжения</v>
      </c>
      <c r="AW4" s="1126"/>
      <c r="AX4" s="1126"/>
      <c r="AY4" s="1781">
        <v>0</v>
      </c>
    </row>
    <row customHeight="1" ht="23.25" hidden="1">
      <c r="A5" s="1989"/>
      <c r="B5" s="1989"/>
      <c r="C5" s="1989"/>
      <c r="D5" s="1989"/>
      <c r="E5" s="2885"/>
      <c r="F5" s="2885"/>
      <c r="G5" s="2885"/>
      <c r="H5" s="2885"/>
      <c r="I5" s="2882">
        <f>S4&amp;".1"</f>
      </c>
      <c r="J5" s="1989"/>
      <c r="K5" s="1989"/>
      <c r="L5" s="1990"/>
      <c r="P5" s="2883">
        <v>1</v>
      </c>
      <c r="Q5" s="2107"/>
      <c r="R5" s="982"/>
      <c r="S5" s="2119">
        <f>$I5</f>
      </c>
      <c r="T5" s="911" t="s">
        <v>501</v>
      </c>
      <c r="U5" s="926"/>
      <c r="V5" s="2976"/>
      <c r="W5" s="2977"/>
      <c r="X5" s="2977"/>
      <c r="Y5" s="2977"/>
      <c r="Z5" s="2977"/>
      <c r="AA5" s="2977"/>
      <c r="AB5" s="2977"/>
      <c r="AC5" s="2977"/>
      <c r="AD5" s="2977"/>
      <c r="AE5" s="2977"/>
      <c r="AF5" s="2978"/>
      <c r="AG5" s="2979"/>
      <c r="AH5" s="2980"/>
      <c r="AI5" s="2980"/>
      <c r="AJ5" s="2980"/>
      <c r="AK5" s="2980"/>
      <c r="AL5" s="2980"/>
      <c r="AM5" s="2980"/>
      <c r="AN5" s="2980"/>
      <c r="AO5" s="2980"/>
      <c r="AP5" s="2980"/>
      <c r="AQ5" s="2980"/>
      <c r="AR5" s="2981"/>
      <c r="AS5" s="1884" t="s">
        <v>502</v>
      </c>
      <c r="AU5" s="1126"/>
      <c r="AV5" s="1126" t="str">
        <f>IF(T5="","",T5)</f>
        <v>Наименование признака дифференциации</v>
      </c>
      <c r="AW5" s="1126"/>
      <c r="AX5" s="1126"/>
      <c r="AY5" s="1781">
        <v>0</v>
      </c>
    </row>
    <row customHeight="1" ht="23.25" hidden="1">
      <c r="A6" s="1989"/>
      <c r="B6" s="1989"/>
      <c r="C6" s="1989"/>
      <c r="D6" s="1989"/>
      <c r="E6" s="2885"/>
      <c r="F6" s="2885"/>
      <c r="G6" s="2885"/>
      <c r="H6" s="2885"/>
      <c r="I6" s="2912"/>
      <c r="J6" s="2882">
        <f>I5&amp;".1"</f>
      </c>
      <c r="K6" s="1989"/>
      <c r="L6" s="1990" t="s">
        <v>424</v>
      </c>
      <c r="P6" s="2883"/>
      <c r="Q6" s="2883">
        <v>1</v>
      </c>
      <c r="R6" s="983"/>
      <c r="S6" s="2119">
        <f>$J6</f>
      </c>
      <c r="T6" s="912" t="s">
        <v>425</v>
      </c>
      <c r="U6" s="926"/>
      <c r="V6" s="2871"/>
      <c r="W6" s="2872"/>
      <c r="X6" s="2872"/>
      <c r="Y6" s="2872"/>
      <c r="Z6" s="2872"/>
      <c r="AA6" s="2872"/>
      <c r="AB6" s="2872"/>
      <c r="AC6" s="2872"/>
      <c r="AD6" s="2872"/>
      <c r="AE6" s="2872"/>
      <c r="AF6" s="2873"/>
      <c r="AG6" s="2871"/>
      <c r="AH6" s="2872"/>
      <c r="AI6" s="2872"/>
      <c r="AJ6" s="2872"/>
      <c r="AK6" s="2872"/>
      <c r="AL6" s="2872"/>
      <c r="AM6" s="2872"/>
      <c r="AN6" s="2872"/>
      <c r="AO6" s="2872"/>
      <c r="AP6" s="2872"/>
      <c r="AQ6" s="2872"/>
      <c r="AR6" s="2873"/>
      <c r="AS6" s="1933" t="s">
        <v>503</v>
      </c>
      <c r="AU6" s="1126"/>
      <c r="AV6" s="1126" t="str">
        <f>IF(T6="","",T6)</f>
        <v>Группа потребителей</v>
      </c>
      <c r="AW6" s="1126"/>
      <c r="AX6" s="1126"/>
      <c r="AY6" s="1781">
        <v>0</v>
      </c>
    </row>
    <row customHeight="1" ht="23.25" hidden="1">
      <c r="A7" s="1989"/>
      <c r="B7" s="1989"/>
      <c r="C7" s="1989"/>
      <c r="D7" s="1989"/>
      <c r="E7" s="2885"/>
      <c r="F7" s="2885"/>
      <c r="G7" s="2885"/>
      <c r="H7" s="2885"/>
      <c r="I7" s="2912"/>
      <c r="J7" s="2912"/>
      <c r="K7" s="2882">
        <f>J6&amp;".1"</f>
      </c>
      <c r="L7" s="1990"/>
      <c r="P7" s="2883"/>
      <c r="Q7" s="2883"/>
      <c r="R7" s="983">
        <v>1</v>
      </c>
      <c r="S7" s="2119">
        <f>$K7</f>
      </c>
      <c r="T7" s="2063"/>
      <c r="U7" s="926"/>
      <c r="V7" s="1377"/>
      <c r="W7" s="1377"/>
      <c r="X7" s="1377"/>
      <c r="Y7" s="1377"/>
      <c r="Z7" s="1377"/>
      <c r="AA7" s="1377"/>
      <c r="AB7" s="1883"/>
      <c r="AC7" s="2891"/>
      <c r="AD7" s="2733" t="s">
        <v>66</v>
      </c>
      <c r="AE7" s="2891"/>
      <c r="AF7" s="2733" t="s">
        <v>66</v>
      </c>
      <c r="AG7" s="1377"/>
      <c r="AH7" s="1377"/>
      <c r="AI7" s="1377"/>
      <c r="AJ7" s="1377"/>
      <c r="AK7" s="1377"/>
      <c r="AL7" s="1377"/>
      <c r="AM7" s="1883"/>
      <c r="AN7" s="2891"/>
      <c r="AO7" s="2733" t="s">
        <v>66</v>
      </c>
      <c r="AP7" s="2913"/>
      <c r="AQ7" s="2733" t="s">
        <v>66</v>
      </c>
      <c r="AR7" s="2064"/>
      <c r="AS7"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137">
        <f>STRCHECKDATE(V8:AR8)</f>
      </c>
      <c r="AU7" s="1126"/>
      <c r="AV7" s="1126" t="str">
        <f>IF(T7="","",T7)</f>
        <v/>
      </c>
      <c r="AW7" s="1126"/>
      <c r="AX7" s="1126"/>
      <c r="AY7" s="1781">
        <v>0</v>
      </c>
    </row>
    <row customHeight="1" ht="14.25" hidden="1">
      <c r="A8" s="1989"/>
      <c r="B8" s="1989"/>
      <c r="C8" s="1989"/>
      <c r="D8" s="1989"/>
      <c r="E8" s="2885"/>
      <c r="F8" s="2885"/>
      <c r="G8" s="2885"/>
      <c r="H8" s="2885"/>
      <c r="I8" s="2912"/>
      <c r="J8" s="2912"/>
      <c r="K8" s="2882"/>
      <c r="L8" s="1990"/>
      <c r="P8" s="2883"/>
      <c r="Q8" s="2883"/>
      <c r="R8" s="983"/>
      <c r="S8" s="2116"/>
      <c r="T8" s="926"/>
      <c r="U8" s="926"/>
      <c r="V8" s="951"/>
      <c r="W8" s="951"/>
      <c r="X8" s="951"/>
      <c r="Y8" s="951"/>
      <c r="Z8" s="951"/>
      <c r="AA8" s="951"/>
      <c r="AB8" s="954" t="str">
        <f>AC7&amp;"-"&amp;AE7</f>
        <v>-</v>
      </c>
      <c r="AC8" s="2892"/>
      <c r="AD8" s="2733"/>
      <c r="AE8" s="2892"/>
      <c r="AF8" s="2733"/>
      <c r="AG8" s="951"/>
      <c r="AH8" s="951"/>
      <c r="AI8" s="951"/>
      <c r="AJ8" s="951"/>
      <c r="AK8" s="951"/>
      <c r="AL8" s="951"/>
      <c r="AM8" s="954" t="str">
        <f>AN7&amp;"-"&amp;AP7</f>
        <v>-</v>
      </c>
      <c r="AN8" s="2892"/>
      <c r="AO8" s="2733"/>
      <c r="AP8" s="2914"/>
      <c r="AQ8" s="2733"/>
      <c r="AR8" s="2065"/>
      <c r="AS8" s="2975"/>
      <c r="AU8" s="1126"/>
      <c r="AV8" s="1126" t="str">
        <f>IF(T8="","",T8)</f>
        <v/>
      </c>
      <c r="AW8" s="1126"/>
      <c r="AX8" s="1126"/>
      <c r="AY8" s="1781">
        <v>0</v>
      </c>
    </row>
    <row customHeight="1" ht="21" hidden="1">
      <c r="A9" s="1989"/>
      <c r="B9" s="1989"/>
      <c r="C9" s="1989"/>
      <c r="D9" s="1989"/>
      <c r="E9" s="2885"/>
      <c r="F9" s="2885"/>
      <c r="G9" s="2885"/>
      <c r="H9" s="2885"/>
      <c r="I9" s="2912"/>
      <c r="J9" s="2882"/>
      <c r="K9" s="1989"/>
      <c r="L9" s="1990"/>
      <c r="P9" s="2883"/>
      <c r="Q9" s="2883"/>
      <c r="R9" s="982"/>
      <c r="S9" s="1904"/>
      <c r="T9" s="913" t="s">
        <v>504</v>
      </c>
      <c r="U9" s="993"/>
      <c r="V9" s="993"/>
      <c r="W9" s="1226"/>
      <c r="X9" s="1226"/>
      <c r="Y9" s="1226"/>
      <c r="Z9" s="1226"/>
      <c r="AA9" s="1226"/>
      <c r="AB9" s="993"/>
      <c r="AC9" s="993"/>
      <c r="AD9" s="993"/>
      <c r="AE9" s="993"/>
      <c r="AF9" s="993"/>
      <c r="AG9" s="993"/>
      <c r="AH9" s="1226"/>
      <c r="AI9" s="1226"/>
      <c r="AJ9" s="1226"/>
      <c r="AK9" s="1226"/>
      <c r="AL9" s="1226"/>
      <c r="AM9" s="993"/>
      <c r="AN9" s="993"/>
      <c r="AO9" s="993"/>
      <c r="AP9" s="993"/>
      <c r="AQ9" s="993"/>
      <c r="AR9" s="993"/>
      <c r="AS9" s="1884" t="s">
        <v>505</v>
      </c>
      <c r="AU9" s="1126"/>
      <c r="AV9" s="1126" t="str">
        <f>IF(T9="","",T9)</f>
        <v>Добавить значение признака дифференциации</v>
      </c>
      <c r="AW9" s="1126"/>
      <c r="AX9" s="1126"/>
      <c r="AY9" s="1781">
        <v>0</v>
      </c>
    </row>
    <row customHeight="1" ht="21" hidden="1">
      <c r="A10" s="1989"/>
      <c r="B10" s="1989"/>
      <c r="C10" s="1989"/>
      <c r="D10" s="1989"/>
      <c r="E10" s="2885"/>
      <c r="F10" s="2885"/>
      <c r="G10" s="2885"/>
      <c r="H10" s="2885"/>
      <c r="I10" s="2882"/>
      <c r="J10" s="1989"/>
      <c r="K10" s="1989"/>
      <c r="L10" s="1990"/>
      <c r="P10" s="2883"/>
      <c r="Q10" s="2107"/>
      <c r="R10" s="982"/>
      <c r="S10" s="1904"/>
      <c r="T10" s="991" t="s">
        <v>430</v>
      </c>
      <c r="U10" s="993"/>
      <c r="V10" s="993"/>
      <c r="W10" s="1226"/>
      <c r="X10" s="1226"/>
      <c r="Y10" s="1226"/>
      <c r="Z10" s="1226"/>
      <c r="AA10" s="1226"/>
      <c r="AB10" s="993"/>
      <c r="AC10" s="993"/>
      <c r="AD10" s="993"/>
      <c r="AE10" s="993"/>
      <c r="AF10" s="992"/>
      <c r="AG10" s="993"/>
      <c r="AH10" s="1226"/>
      <c r="AI10" s="1226"/>
      <c r="AJ10" s="1226"/>
      <c r="AK10" s="1226"/>
      <c r="AL10" s="1226"/>
      <c r="AM10" s="993"/>
      <c r="AN10" s="993"/>
      <c r="AO10" s="993"/>
      <c r="AP10" s="993"/>
      <c r="AQ10" s="992"/>
      <c r="AR10" s="993"/>
      <c r="AS10" s="2066"/>
      <c r="AU10" s="1126"/>
      <c r="AV10" s="1126" t="str">
        <f>IF(T10="","",T10)</f>
        <v>Добавить группу потребителей</v>
      </c>
      <c r="AW10" s="1126"/>
      <c r="AX10" s="1126"/>
      <c r="AY10" s="1781">
        <v>0</v>
      </c>
    </row>
    <row customHeight="1" ht="21" hidden="1">
      <c r="A11" s="1989"/>
      <c r="B11" s="1989"/>
      <c r="C11" s="1989"/>
      <c r="D11" s="1989"/>
      <c r="E11" s="2885"/>
      <c r="F11" s="2885"/>
      <c r="G11" s="2885"/>
      <c r="H11" s="2884"/>
      <c r="I11" s="1989"/>
      <c r="J11" s="1989"/>
      <c r="K11" s="1989"/>
      <c r="L11" s="1990"/>
      <c r="M11" s="1991"/>
      <c r="N11" s="1991"/>
      <c r="O11" s="1163"/>
      <c r="P11" s="986"/>
      <c r="Q11" s="1001"/>
      <c r="R11" s="981"/>
      <c r="S11" s="1904"/>
      <c r="T11" s="998" t="s">
        <v>506</v>
      </c>
      <c r="U11" s="993"/>
      <c r="V11" s="993"/>
      <c r="W11" s="1226"/>
      <c r="X11" s="1226"/>
      <c r="Y11" s="1226"/>
      <c r="Z11" s="1226"/>
      <c r="AA11" s="1226"/>
      <c r="AB11" s="993"/>
      <c r="AC11" s="993"/>
      <c r="AD11" s="993"/>
      <c r="AE11" s="993"/>
      <c r="AF11" s="992"/>
      <c r="AG11" s="993"/>
      <c r="AH11" s="1226"/>
      <c r="AI11" s="1226"/>
      <c r="AJ11" s="1226"/>
      <c r="AK11" s="1226"/>
      <c r="AL11" s="1226"/>
      <c r="AM11" s="993"/>
      <c r="AN11" s="993"/>
      <c r="AO11" s="993"/>
      <c r="AP11" s="993"/>
      <c r="AQ11" s="992"/>
      <c r="AR11" s="993"/>
      <c r="AS11" s="929"/>
      <c r="AU11" s="1126"/>
      <c r="AV11" s="1126" t="str">
        <f>IF(T11="","",T11)</f>
        <v>Добавить наименование признака дифференциации</v>
      </c>
      <c r="AW11" s="1126"/>
      <c r="AX11" s="1126"/>
      <c r="AY11" s="1781">
        <v>0</v>
      </c>
    </row>
    <row s="34658" customFormat="1" customHeight="1" ht="14.25" hidden="1">
      <c r="A12" s="1969"/>
      <c r="B12" s="1969"/>
      <c r="C12" s="1940"/>
      <c r="D12" s="1940"/>
      <c r="E12" s="2885"/>
      <c r="F12" s="2884"/>
      <c r="G12" s="1940"/>
      <c r="H12" s="1940"/>
      <c r="I12" s="1940"/>
      <c r="J12" s="1940"/>
      <c r="K12" s="1940"/>
      <c r="L12" s="2120"/>
      <c r="M12" s="1947"/>
      <c r="N12" s="1947"/>
      <c r="P12" s="1942"/>
      <c r="Q12" s="1943"/>
      <c r="R12" s="1942"/>
      <c r="S12" s="1948"/>
      <c r="T12" s="1951" t="s">
        <v>433</v>
      </c>
      <c r="U12" s="1950"/>
      <c r="V12" s="1950"/>
      <c r="W12" s="1950"/>
      <c r="X12" s="1950"/>
      <c r="Y12" s="1950"/>
      <c r="Z12" s="1950"/>
      <c r="AA12" s="1950"/>
      <c r="AB12" s="1950"/>
      <c r="AC12" s="1950"/>
      <c r="AD12" s="1950"/>
      <c r="AE12" s="1950"/>
      <c r="AF12" s="1950"/>
      <c r="AG12" s="1950"/>
      <c r="AH12" s="1950"/>
      <c r="AI12" s="1950"/>
      <c r="AJ12" s="1950"/>
      <c r="AK12" s="1950"/>
      <c r="AL12" s="1950"/>
      <c r="AM12" s="1950"/>
      <c r="AN12" s="1950"/>
      <c r="AO12" s="1950"/>
      <c r="AP12" s="1950"/>
      <c r="AQ12" s="1950"/>
      <c r="AR12" s="1950"/>
      <c r="AS12" s="1950"/>
      <c r="AU12" s="1415"/>
      <c r="AV12" s="1415" t="str">
        <f>IF(T12="","",T12)</f>
        <v>Добавить централизованную систему для дифференциации</v>
      </c>
      <c r="AW12" s="1415"/>
      <c r="AX12" s="1415"/>
      <c r="AY12" s="1144">
        <v>0</v>
      </c>
    </row>
    <row s="34658" customFormat="1" customHeight="1" ht="14.25" hidden="1">
      <c r="A13" s="1969"/>
      <c r="B13" s="1969"/>
      <c r="C13" s="1969"/>
      <c r="D13" s="1969"/>
      <c r="E13" s="2884"/>
      <c r="F13" s="1969"/>
      <c r="G13" s="1969"/>
      <c r="H13" s="1969"/>
      <c r="I13" s="1969"/>
      <c r="J13" s="1969"/>
      <c r="K13" s="1969"/>
      <c r="L13" s="1972"/>
      <c r="M13" s="1947"/>
      <c r="N13" s="1947"/>
      <c r="O13" s="1144"/>
      <c r="P13" s="1006"/>
      <c r="Q13" s="1970"/>
      <c r="R13" s="1006"/>
      <c r="S13" s="1948"/>
      <c r="T13" s="1951" t="s">
        <v>434</v>
      </c>
      <c r="U13" s="1950"/>
      <c r="V13" s="1950"/>
      <c r="W13" s="1950"/>
      <c r="X13" s="1950"/>
      <c r="Y13" s="1950"/>
      <c r="Z13" s="1950"/>
      <c r="AA13" s="1950"/>
      <c r="AB13" s="1950"/>
      <c r="AC13" s="1950"/>
      <c r="AD13" s="1950"/>
      <c r="AE13" s="1950"/>
      <c r="AF13" s="1950"/>
      <c r="AG13" s="1950"/>
      <c r="AH13" s="1950"/>
      <c r="AI13" s="1950"/>
      <c r="AJ13" s="1950"/>
      <c r="AK13" s="1950"/>
      <c r="AL13" s="1950"/>
      <c r="AM13" s="1950"/>
      <c r="AN13" s="1950"/>
      <c r="AO13" s="1950"/>
      <c r="AP13" s="1950"/>
      <c r="AQ13" s="1950"/>
      <c r="AR13" s="1950"/>
      <c r="AS13" s="1950"/>
      <c r="AU13" s="1126"/>
      <c r="AV13" s="1126" t="str">
        <f>IF(T13="","",T13)</f>
        <v>Добавить территорию для дифференциации</v>
      </c>
      <c r="AW13" s="1126"/>
      <c r="AX13" s="1126"/>
      <c r="AY13" s="1137">
        <v>0</v>
      </c>
    </row>
    <row customHeight="1" ht="14.25" hidden="1">
      <c r="AF14" s="953"/>
      <c r="AQ14" s="953"/>
      <c r="AY14" s="1781">
        <v>0</v>
      </c>
    </row>
    <row customHeight="1" ht="14.25" hidden="1">
      <c r="AG15" s="1986"/>
      <c r="AH15" s="1986"/>
      <c r="AI15" s="1986"/>
      <c r="AJ15" s="1986"/>
      <c r="AK15" s="1986"/>
      <c r="AL15" s="1986"/>
      <c r="AM15" s="1987"/>
      <c r="AN15" s="2893"/>
      <c r="AO15" s="2894" t="s">
        <v>66</v>
      </c>
      <c r="AP15" s="2893"/>
      <c r="AQ15" s="2894" t="s">
        <v>66</v>
      </c>
      <c r="AY15" s="1781">
        <v>0</v>
      </c>
    </row>
    <row customHeight="1" ht="14.25" hidden="1">
      <c r="AG16" s="1986"/>
      <c r="AH16" s="1986"/>
      <c r="AI16" s="1986"/>
      <c r="AJ16" s="1986"/>
      <c r="AK16" s="1986"/>
      <c r="AL16" s="1986"/>
      <c r="AM16" s="954" t="str">
        <f>AN15&amp;"-"&amp;AP15</f>
        <v>-</v>
      </c>
      <c r="AN16" s="2894"/>
      <c r="AO16" s="2894"/>
      <c r="AP16" s="2894"/>
      <c r="AQ16" s="2894"/>
      <c r="AY16" s="1781">
        <v>0</v>
      </c>
    </row>
    <row customHeight="1" ht="14.25" hidden="1">
      <c r="AQ17" s="953"/>
      <c r="AY17" s="1781">
        <v>0</v>
      </c>
    </row>
    <row s="34657" customFormat="1" customHeight="1" ht="22.5" hidden="1">
      <c r="L18" s="2104"/>
      <c r="M18" s="1988"/>
      <c r="N18" s="1988"/>
      <c r="O18" s="1993" t="s">
        <v>435</v>
      </c>
      <c r="P18" s="1988"/>
      <c r="Q18" s="1997"/>
      <c r="R18" s="1997"/>
      <c r="S18" s="1355"/>
      <c r="W18" s="1992"/>
      <c r="X18" s="1992"/>
      <c r="Y18" s="1992"/>
      <c r="Z18" s="1992"/>
      <c r="AA18" s="1992"/>
      <c r="AC18" s="1993"/>
      <c r="AE18" s="1993"/>
      <c r="AF18" s="1992"/>
      <c r="AH18" s="1992"/>
      <c r="AI18" s="1992"/>
      <c r="AJ18" s="1992"/>
      <c r="AK18" s="1992"/>
      <c r="AL18" s="1992"/>
      <c r="AN18" s="1993"/>
      <c r="AP18" s="1993"/>
      <c r="AQ18" s="1992"/>
      <c r="AT18" s="1137"/>
      <c r="AU18" s="1137"/>
      <c r="AV18" s="1137"/>
      <c r="AW18" s="1137"/>
      <c r="AX18" s="1137"/>
      <c r="AY18" s="1786">
        <v>0</v>
      </c>
    </row>
    <row s="34657" customFormat="1" customHeight="1" ht="14.25" hidden="1">
      <c r="L19" s="2104"/>
      <c r="M19" s="1988"/>
      <c r="N19" s="1988"/>
      <c r="O19" s="1988"/>
      <c r="P19" s="1988"/>
      <c r="Q19" s="1997"/>
      <c r="R19" s="1997"/>
      <c r="S19" s="1355"/>
      <c r="W19" s="1992"/>
      <c r="X19" s="1992"/>
      <c r="Y19" s="1992"/>
      <c r="Z19" s="1992"/>
      <c r="AA19" s="1992"/>
      <c r="AF19" s="1992"/>
      <c r="AH19" s="1992"/>
      <c r="AI19" s="1992"/>
      <c r="AJ19" s="1992"/>
      <c r="AK19" s="1992"/>
      <c r="AL19" s="1992"/>
      <c r="AQ19" s="1992"/>
      <c r="AT19" s="1137"/>
      <c r="AU19" s="1137"/>
      <c r="AV19" s="1137"/>
      <c r="AW19" s="1137"/>
      <c r="AX19" s="1137"/>
      <c r="AY19" s="1786">
        <v>0</v>
      </c>
    </row>
    <row s="34657" customFormat="1" customHeight="1" ht="12" hidden="1">
      <c r="L20" s="2104"/>
      <c r="M20" s="1988"/>
      <c r="N20" s="1988"/>
      <c r="O20" s="1990" t="s">
        <v>436</v>
      </c>
      <c r="P20" s="1988"/>
      <c r="Q20" s="2068"/>
      <c r="R20" s="2068"/>
      <c r="S20" s="1355"/>
      <c r="T20" s="1786" t="s">
        <v>437</v>
      </c>
      <c r="W20" s="1992"/>
      <c r="X20" s="1992"/>
      <c r="Y20" s="1992"/>
      <c r="Z20" s="1992"/>
      <c r="AA20" s="1992"/>
      <c r="AD20" s="812" t="s">
        <v>438</v>
      </c>
      <c r="AF20" s="812" t="s">
        <v>439</v>
      </c>
      <c r="AG20" s="1786" t="s">
        <v>437</v>
      </c>
      <c r="AH20" s="1992"/>
      <c r="AI20" s="1992"/>
      <c r="AJ20" s="1992"/>
      <c r="AK20" s="1992"/>
      <c r="AL20" s="1992"/>
      <c r="AO20" s="812" t="s">
        <v>440</v>
      </c>
      <c r="AQ20" s="812" t="s">
        <v>439</v>
      </c>
      <c r="AY20" s="1786">
        <v>0</v>
      </c>
    </row>
    <row customHeight="1" ht="14.25" hidden="1">
      <c r="O21" s="1990"/>
      <c r="AY21" s="1781">
        <v>0</v>
      </c>
    </row>
    <row customHeight="1" ht="14.25" hidden="1">
      <c r="O22" s="1990"/>
      <c r="AY22" s="1781">
        <v>0</v>
      </c>
    </row>
    <row customHeight="1" ht="14.699999999999998">
      <c r="Q23" s="1002"/>
      <c r="R23" s="1002"/>
      <c r="S23" s="1901"/>
      <c r="T23" s="989"/>
      <c r="U23" s="989"/>
      <c r="V23" s="1135"/>
      <c r="W23" s="2261"/>
      <c r="X23" s="2261"/>
      <c r="Y23" s="2261"/>
      <c r="Z23" s="2261"/>
      <c r="AA23" s="2261"/>
      <c r="AB23" s="1135"/>
      <c r="AC23" s="1135"/>
      <c r="AD23" s="1135"/>
      <c r="AE23" s="1135"/>
      <c r="AF23" s="1135"/>
      <c r="AG23" s="1135"/>
      <c r="AH23" s="2261"/>
      <c r="AI23" s="2261"/>
      <c r="AJ23" s="2261"/>
      <c r="AK23" s="2261"/>
      <c r="AL23" s="2261"/>
      <c r="AM23" s="1135"/>
      <c r="AN23" s="1135"/>
      <c r="AO23" s="1135"/>
      <c r="AP23" s="1135"/>
      <c r="AQ23" s="1135"/>
      <c r="AY23" s="1781">
        <v>14</v>
      </c>
    </row>
    <row customHeight="1" ht="26.25">
      <c r="Q24" s="1002"/>
      <c r="R24" s="1002"/>
      <c r="S24" s="28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1869"/>
      <c r="AY24" s="1781">
        <v>25</v>
      </c>
    </row>
    <row customHeight="1" ht="14.699999999999998">
      <c r="Q25" s="1002"/>
      <c r="R25" s="1002"/>
      <c r="S25" s="2875" t="str">
        <f>IF(org=0,"Не определено",org)</f>
        <v>АО "ДГК"</v>
      </c>
      <c r="T25" s="2875"/>
      <c r="U25" s="2875"/>
      <c r="V25" s="2875"/>
      <c r="W25" s="2875"/>
      <c r="X25" s="2875"/>
      <c r="Y25" s="2875"/>
      <c r="Z25" s="2875"/>
      <c r="AA25" s="2875"/>
      <c r="AB25" s="2875"/>
      <c r="AC25" s="2875"/>
      <c r="AD25" s="2875"/>
      <c r="AE25" s="2875"/>
      <c r="AF25" s="2875"/>
      <c r="AG25" s="2875"/>
      <c r="AH25" s="2875"/>
      <c r="AI25" s="2875"/>
      <c r="AJ25" s="2875"/>
      <c r="AK25" s="2875"/>
      <c r="AL25" s="2875"/>
      <c r="AM25" s="2875"/>
      <c r="AN25" s="2875"/>
      <c r="AO25" s="2875"/>
      <c r="AP25" s="2875"/>
      <c r="AQ25" s="1869"/>
      <c r="AY25" s="1781">
        <v>14</v>
      </c>
    </row>
    <row customHeight="1" ht="14.25" hidden="1">
      <c r="Q26" s="1002"/>
      <c r="R26" s="1002"/>
      <c r="S26" s="1901"/>
      <c r="T26" s="989"/>
      <c r="U26" s="989"/>
      <c r="V26" s="948"/>
      <c r="W26" s="948"/>
      <c r="X26" s="948"/>
      <c r="Y26" s="948"/>
      <c r="Z26" s="948"/>
      <c r="AA26" s="948"/>
      <c r="AB26" s="948"/>
      <c r="AC26" s="948"/>
      <c r="AD26" s="948"/>
      <c r="AE26" s="948"/>
      <c r="AF26" s="948"/>
      <c r="AG26" s="948"/>
      <c r="AH26" s="948"/>
      <c r="AI26" s="948"/>
      <c r="AJ26" s="948"/>
      <c r="AK26" s="948"/>
      <c r="AL26" s="948"/>
      <c r="AM26" s="948"/>
      <c r="AN26" s="948"/>
      <c r="AO26" s="948"/>
      <c r="AP26" s="948"/>
      <c r="AQ26" s="948"/>
      <c r="AR26" s="1135"/>
      <c r="AY26" s="1781">
        <v>0</v>
      </c>
    </row>
    <row s="34794" customFormat="1" customHeight="1" ht="25.5" hidden="1">
      <c r="A27" s="1994"/>
      <c r="B27" s="1994"/>
      <c r="C27" s="1994"/>
      <c r="D27" s="1994"/>
      <c r="E27" s="1994"/>
      <c r="F27" s="1994"/>
      <c r="G27" s="1994"/>
      <c r="H27" s="1994"/>
      <c r="I27" s="1994"/>
      <c r="J27" s="1994"/>
      <c r="K27" s="1994"/>
      <c r="L27" s="1995"/>
      <c r="M27" s="1994"/>
      <c r="N27" s="1994"/>
      <c r="O27" s="1994"/>
      <c r="S27" s="2876" t="s">
        <v>42</v>
      </c>
      <c r="T27" s="2876"/>
      <c r="U27" s="1998"/>
      <c r="V27" s="2877" t="str">
        <f>IF(TITLE_NAME_OR_PR_CHANGE="",IF(TITLE_NAME_OR_PR="","",TITLE_NAME_OR_PR),TITLE_NAME_OR_PR_CHANGE)</f>
        <v/>
      </c>
      <c r="W27" s="2877"/>
      <c r="X27" s="2877"/>
      <c r="Y27" s="2877"/>
      <c r="Z27" s="2877"/>
      <c r="AA27" s="2877"/>
      <c r="AB27" s="2877"/>
      <c r="AC27" s="2877"/>
      <c r="AD27" s="2877"/>
      <c r="AE27" s="2877"/>
      <c r="AF27" s="952"/>
      <c r="AG27" s="2877" t="str">
        <f>IF(TITLE_NAME_OR_PR_CHANGE="",IF(TITLE_NAME_OR_PR="","",TITLE_NAME_OR_PR),TITLE_NAME_OR_PR_CHANGE)</f>
        <v/>
      </c>
      <c r="AH27" s="2877"/>
      <c r="AI27" s="2877"/>
      <c r="AJ27" s="2877"/>
      <c r="AK27" s="2877"/>
      <c r="AL27" s="2877"/>
      <c r="AM27" s="2877"/>
      <c r="AN27" s="2877"/>
      <c r="AO27" s="2877"/>
      <c r="AP27" s="2877"/>
      <c r="AQ27" s="952"/>
      <c r="AR27" s="952"/>
      <c r="AS27" s="906"/>
      <c r="AT27" s="994"/>
      <c r="AU27" s="994"/>
      <c r="AV27" s="994"/>
      <c r="AW27" s="994"/>
      <c r="AX27" s="994"/>
      <c r="AY27" s="1044">
        <v>0</v>
      </c>
    </row>
    <row s="34794" customFormat="1" customHeight="1" ht="18.75" hidden="1">
      <c r="A28" s="1994"/>
      <c r="B28" s="1994"/>
      <c r="C28" s="1994"/>
      <c r="D28" s="1994"/>
      <c r="E28" s="1994"/>
      <c r="F28" s="1994"/>
      <c r="G28" s="1994"/>
      <c r="H28" s="1994"/>
      <c r="I28" s="1994"/>
      <c r="J28" s="1994"/>
      <c r="K28" s="1994"/>
      <c r="L28" s="1995"/>
      <c r="M28" s="1994"/>
      <c r="N28" s="1994"/>
      <c r="O28" s="1994"/>
      <c r="S28" s="2876" t="s">
        <v>441</v>
      </c>
      <c r="T28" s="2876"/>
      <c r="U28" s="1998"/>
      <c r="V28" s="2890" t="str">
        <f>IF(TITLE_DATE_PR_CHANGE="",IF(TITLE_DATE_PR="","",TITLE_DATE_PR),TITLE_DATE_PR_CHANGE)</f>
        <v/>
      </c>
      <c r="W28" s="2890"/>
      <c r="X28" s="2890"/>
      <c r="Y28" s="2890"/>
      <c r="Z28" s="2890"/>
      <c r="AA28" s="2890"/>
      <c r="AB28" s="2890"/>
      <c r="AC28" s="2890"/>
      <c r="AD28" s="2890"/>
      <c r="AE28" s="2890"/>
      <c r="AF28" s="952"/>
      <c r="AG28" s="2890" t="str">
        <f>IF(TITLE_DATE_PR_CHANGE="",IF(TITLE_DATE_PR="","",TITLE_DATE_PR),TITLE_DATE_PR_CHANGE)</f>
        <v/>
      </c>
      <c r="AH28" s="2890"/>
      <c r="AI28" s="2890"/>
      <c r="AJ28" s="2890"/>
      <c r="AK28" s="2890"/>
      <c r="AL28" s="2890"/>
      <c r="AM28" s="2890"/>
      <c r="AN28" s="2890"/>
      <c r="AO28" s="2890"/>
      <c r="AP28" s="2890"/>
      <c r="AQ28" s="952"/>
      <c r="AR28" s="952"/>
      <c r="AS28" s="906"/>
      <c r="AT28" s="994"/>
      <c r="AU28" s="994"/>
      <c r="AV28" s="994"/>
      <c r="AW28" s="994"/>
      <c r="AX28" s="994"/>
      <c r="AY28" s="1044">
        <v>0</v>
      </c>
    </row>
    <row s="34794" customFormat="1" customHeight="1" ht="18.75" hidden="1">
      <c r="A29" s="1994"/>
      <c r="B29" s="1994"/>
      <c r="C29" s="1994"/>
      <c r="D29" s="1994"/>
      <c r="E29" s="1994"/>
      <c r="F29" s="1994"/>
      <c r="G29" s="1994"/>
      <c r="H29" s="1994"/>
      <c r="I29" s="1994"/>
      <c r="J29" s="1994"/>
      <c r="K29" s="1994"/>
      <c r="L29" s="1995"/>
      <c r="M29" s="1994"/>
      <c r="N29" s="1994"/>
      <c r="O29" s="1994"/>
      <c r="S29" s="2876" t="s">
        <v>442</v>
      </c>
      <c r="T29" s="2876"/>
      <c r="U29" s="1998"/>
      <c r="V29" s="2877" t="str">
        <f>IF(TITLE_NUMBER_PR_CHANGE="",IF(TITLE_NUMBER_PR="","",TITLE_NUMBER_PR),TITLE_NUMBER_PR_CHANGE)</f>
        <v/>
      </c>
      <c r="W29" s="2877"/>
      <c r="X29" s="2877"/>
      <c r="Y29" s="2877"/>
      <c r="Z29" s="2877"/>
      <c r="AA29" s="2877"/>
      <c r="AB29" s="2877"/>
      <c r="AC29" s="2877"/>
      <c r="AD29" s="2877"/>
      <c r="AE29" s="2877"/>
      <c r="AF29" s="952"/>
      <c r="AG29" s="2877" t="str">
        <f>IF(TITLE_NUMBER_PR_CHANGE="",IF(TITLE_NUMBER_PR="","",TITLE_NUMBER_PR),TITLE_NUMBER_PR_CHANGE)</f>
        <v/>
      </c>
      <c r="AH29" s="2877"/>
      <c r="AI29" s="2877"/>
      <c r="AJ29" s="2877"/>
      <c r="AK29" s="2877"/>
      <c r="AL29" s="2877"/>
      <c r="AM29" s="2877"/>
      <c r="AN29" s="2877"/>
      <c r="AO29" s="2877"/>
      <c r="AP29" s="2877"/>
      <c r="AQ29" s="952"/>
      <c r="AR29" s="952"/>
      <c r="AS29" s="906"/>
      <c r="AT29" s="994"/>
      <c r="AU29" s="994"/>
      <c r="AV29" s="994"/>
      <c r="AW29" s="994"/>
      <c r="AX29" s="994"/>
      <c r="AY29" s="1044">
        <v>0</v>
      </c>
    </row>
    <row s="34794" customFormat="1" customHeight="1" ht="18.75" hidden="1">
      <c r="A30" s="1994"/>
      <c r="B30" s="1994"/>
      <c r="C30" s="1994"/>
      <c r="D30" s="1994"/>
      <c r="E30" s="1994"/>
      <c r="F30" s="1994"/>
      <c r="G30" s="1994"/>
      <c r="H30" s="1994"/>
      <c r="I30" s="1994"/>
      <c r="J30" s="1994"/>
      <c r="K30" s="1994"/>
      <c r="L30" s="1995"/>
      <c r="M30" s="1994"/>
      <c r="N30" s="1994"/>
      <c r="O30" s="1994"/>
      <c r="S30" s="2876" t="s">
        <v>43</v>
      </c>
      <c r="T30" s="2876"/>
      <c r="U30" s="1998"/>
      <c r="V30" s="2877" t="str">
        <f>IF(TITLE_IST_PUB_CHANGE="",IF(TITLE_IST_PUB="","",TITLE_IST_PUB),TITLE_IST_PUB_CHANGE)</f>
        <v/>
      </c>
      <c r="W30" s="2877"/>
      <c r="X30" s="2877"/>
      <c r="Y30" s="2877"/>
      <c r="Z30" s="2877"/>
      <c r="AA30" s="2877"/>
      <c r="AB30" s="2877"/>
      <c r="AC30" s="2877"/>
      <c r="AD30" s="2877"/>
      <c r="AE30" s="2877"/>
      <c r="AF30" s="952"/>
      <c r="AG30" s="2877" t="str">
        <f>IF(TITLE_IST_PUB_CHANGE="",IF(TITLE_IST_PUB="","",TITLE_IST_PUB),TITLE_IST_PUB_CHANGE)</f>
        <v/>
      </c>
      <c r="AH30" s="2877"/>
      <c r="AI30" s="2877"/>
      <c r="AJ30" s="2877"/>
      <c r="AK30" s="2877"/>
      <c r="AL30" s="2877"/>
      <c r="AM30" s="2877"/>
      <c r="AN30" s="2877"/>
      <c r="AO30" s="2877"/>
      <c r="AP30" s="2877"/>
      <c r="AQ30" s="952"/>
      <c r="AR30" s="952"/>
      <c r="AS30" s="906"/>
      <c r="AT30" s="994"/>
      <c r="AU30" s="994"/>
      <c r="AV30" s="994"/>
      <c r="AW30" s="994"/>
      <c r="AX30" s="994"/>
      <c r="AY30" s="1044">
        <v>0</v>
      </c>
    </row>
    <row customHeight="1" ht="14.25" hidden="1">
      <c r="Q31" s="1002"/>
      <c r="R31" s="1002"/>
      <c r="S31" s="1901"/>
      <c r="T31" s="989"/>
      <c r="U31" s="989"/>
      <c r="V31" s="948"/>
      <c r="W31" s="948"/>
      <c r="X31" s="948"/>
      <c r="Y31" s="948"/>
      <c r="Z31" s="948"/>
      <c r="AA31" s="948"/>
      <c r="AB31" s="948"/>
      <c r="AC31" s="948"/>
      <c r="AD31" s="948"/>
      <c r="AE31" s="948"/>
      <c r="AF31" s="948"/>
      <c r="AG31" s="948"/>
      <c r="AH31" s="948"/>
      <c r="AI31" s="948"/>
      <c r="AJ31" s="948"/>
      <c r="AK31" s="948"/>
      <c r="AL31" s="948"/>
      <c r="AM31" s="948"/>
      <c r="AN31" s="948"/>
      <c r="AO31" s="948"/>
      <c r="AP31" s="948"/>
      <c r="AQ31" s="948"/>
      <c r="AR31" s="1135"/>
      <c r="AY31" s="1781">
        <v>0</v>
      </c>
    </row>
    <row s="34794" customFormat="1" customHeight="1" ht="18.75" hidden="1">
      <c r="A32" s="1994"/>
      <c r="B32" s="1994"/>
      <c r="C32" s="1994"/>
      <c r="D32" s="1994"/>
      <c r="E32" s="1994"/>
      <c r="F32" s="1994"/>
      <c r="G32" s="1994"/>
      <c r="H32" s="1994"/>
      <c r="I32" s="1994"/>
      <c r="J32" s="1994"/>
      <c r="K32" s="1994"/>
      <c r="L32" s="1995"/>
      <c r="M32" s="1994"/>
      <c r="N32" s="1994"/>
      <c r="O32" s="1994"/>
      <c r="S32" s="2876" t="s">
        <v>443</v>
      </c>
      <c r="T32" s="2876"/>
      <c r="U32" s="1998"/>
      <c r="V32" s="2890" t="str">
        <f>IF(TITLE_DATE_PR_CHANGE="",IF(TITLE_DATE_PR="","",TITLE_DATE_PR),TITLE_DATE_PR_CHANGE)</f>
        <v/>
      </c>
      <c r="W32" s="2890"/>
      <c r="X32" s="2890"/>
      <c r="Y32" s="2890"/>
      <c r="Z32" s="2890"/>
      <c r="AA32" s="2890"/>
      <c r="AB32" s="2890"/>
      <c r="AC32" s="2890"/>
      <c r="AD32" s="2890"/>
      <c r="AE32" s="2890"/>
      <c r="AF32" s="952"/>
      <c r="AG32" s="2890" t="str">
        <f>IF(TITLE_DATE_PR_CHANGE="",IF(TITLE_DATE_PR="","",TITLE_DATE_PR),TITLE_DATE_PR_CHANGE)</f>
        <v/>
      </c>
      <c r="AH32" s="2890"/>
      <c r="AI32" s="2890"/>
      <c r="AJ32" s="2890"/>
      <c r="AK32" s="2890"/>
      <c r="AL32" s="2890"/>
      <c r="AM32" s="2890"/>
      <c r="AN32" s="2890"/>
      <c r="AO32" s="2890"/>
      <c r="AP32" s="2890"/>
      <c r="AQ32" s="952"/>
      <c r="AR32" s="952"/>
      <c r="AS32" s="906"/>
      <c r="AT32" s="994"/>
      <c r="AU32" s="994"/>
      <c r="AV32" s="994"/>
      <c r="AW32" s="994"/>
      <c r="AX32" s="994"/>
      <c r="AY32" s="1044">
        <v>0</v>
      </c>
    </row>
    <row s="34794" customFormat="1" customHeight="1" ht="18.75" hidden="1">
      <c r="A33" s="1994"/>
      <c r="B33" s="1994"/>
      <c r="C33" s="1994"/>
      <c r="D33" s="1994"/>
      <c r="E33" s="1994"/>
      <c r="F33" s="1994"/>
      <c r="G33" s="1994"/>
      <c r="H33" s="1994"/>
      <c r="I33" s="1994"/>
      <c r="J33" s="1994"/>
      <c r="K33" s="1994"/>
      <c r="L33" s="1995"/>
      <c r="M33" s="1994"/>
      <c r="N33" s="1994"/>
      <c r="O33" s="1994"/>
      <c r="S33" s="2876" t="s">
        <v>444</v>
      </c>
      <c r="T33" s="2876"/>
      <c r="U33" s="1998"/>
      <c r="V33" s="2877" t="str">
        <f>IF(TITLE_NUMBER_PR_CHANGE="",IF(TITLE_NUMBER_PR="","",TITLE_NUMBER_PR),TITLE_NUMBER_PR_CHANGE)</f>
        <v/>
      </c>
      <c r="W33" s="2877"/>
      <c r="X33" s="2877"/>
      <c r="Y33" s="2877"/>
      <c r="Z33" s="2877"/>
      <c r="AA33" s="2877"/>
      <c r="AB33" s="2877"/>
      <c r="AC33" s="2877"/>
      <c r="AD33" s="2877"/>
      <c r="AE33" s="2877"/>
      <c r="AF33" s="952"/>
      <c r="AG33" s="2877" t="str">
        <f>IF(TITLE_NUMBER_PR_CHANGE="",IF(TITLE_NUMBER_PR="","",TITLE_NUMBER_PR),TITLE_NUMBER_PR_CHANGE)</f>
        <v/>
      </c>
      <c r="AH33" s="2877"/>
      <c r="AI33" s="2877"/>
      <c r="AJ33" s="2877"/>
      <c r="AK33" s="2877"/>
      <c r="AL33" s="2877"/>
      <c r="AM33" s="2877"/>
      <c r="AN33" s="2877"/>
      <c r="AO33" s="2877"/>
      <c r="AP33" s="2877"/>
      <c r="AQ33" s="952"/>
      <c r="AR33" s="952"/>
      <c r="AS33" s="906"/>
      <c r="AT33" s="994"/>
      <c r="AU33" s="994"/>
      <c r="AV33" s="994"/>
      <c r="AW33" s="994"/>
      <c r="AX33" s="994"/>
      <c r="AY33" s="1044">
        <v>0</v>
      </c>
    </row>
    <row s="34794" customFormat="1" customHeight="1" ht="1.05">
      <c r="A34" s="1994"/>
      <c r="B34" s="1994"/>
      <c r="C34" s="1994"/>
      <c r="D34" s="1994"/>
      <c r="E34" s="1994"/>
      <c r="F34" s="1994"/>
      <c r="G34" s="1994"/>
      <c r="H34" s="1994"/>
      <c r="I34" s="1994"/>
      <c r="J34" s="1994"/>
      <c r="K34" s="1994"/>
      <c r="L34" s="1995"/>
      <c r="M34" s="1994"/>
      <c r="N34" s="1994"/>
      <c r="O34" s="1994"/>
      <c r="S34" s="949"/>
      <c r="T34" s="949"/>
      <c r="U34" s="2114"/>
      <c r="V34" s="952"/>
      <c r="W34" s="2261"/>
      <c r="X34" s="2261"/>
      <c r="Y34" s="2261"/>
      <c r="Z34" s="2261"/>
      <c r="AA34" s="2261"/>
      <c r="AB34" s="952"/>
      <c r="AC34" s="952"/>
      <c r="AD34" s="952"/>
      <c r="AE34" s="952"/>
      <c r="AF34" s="904" t="s">
        <v>445</v>
      </c>
      <c r="AG34" s="952"/>
      <c r="AH34" s="2261"/>
      <c r="AI34" s="2261"/>
      <c r="AJ34" s="2261"/>
      <c r="AK34" s="2261"/>
      <c r="AL34" s="2261"/>
      <c r="AM34" s="952"/>
      <c r="AN34" s="952"/>
      <c r="AO34" s="952"/>
      <c r="AP34" s="952"/>
      <c r="AQ34" s="904" t="s">
        <v>445</v>
      </c>
      <c r="AT34" s="994"/>
      <c r="AU34" s="994"/>
      <c r="AV34" s="994"/>
      <c r="AW34" s="994"/>
      <c r="AX34" s="994"/>
      <c r="AY34" s="1044">
        <v>1</v>
      </c>
    </row>
    <row customHeight="1" ht="14.699999999999998">
      <c r="Q35" s="1002"/>
      <c r="R35" s="1002"/>
      <c r="S35" s="1901"/>
      <c r="T35" s="989"/>
      <c r="U35" s="1870"/>
      <c r="V35" s="2878"/>
      <c r="W35" s="2878"/>
      <c r="X35" s="2878"/>
      <c r="Y35" s="2878"/>
      <c r="Z35" s="2878"/>
      <c r="AA35" s="2878"/>
      <c r="AB35" s="2878"/>
      <c r="AC35" s="2878"/>
      <c r="AD35" s="2878"/>
      <c r="AE35" s="2878"/>
      <c r="AF35" s="2878"/>
      <c r="AG35" s="2878"/>
      <c r="AH35" s="2878"/>
      <c r="AI35" s="2878"/>
      <c r="AJ35" s="2878"/>
      <c r="AK35" s="2878"/>
      <c r="AL35" s="2878"/>
      <c r="AM35" s="2878"/>
      <c r="AN35" s="2878"/>
      <c r="AO35" s="2878"/>
      <c r="AP35" s="2878"/>
      <c r="AQ35" s="2878"/>
      <c r="AY35" s="1781">
        <v>14</v>
      </c>
    </row>
    <row customHeight="1" ht="14.699999999999998">
      <c r="Q36" s="1002"/>
      <c r="R36" s="1002"/>
      <c r="S36" s="2753" t="s">
        <v>318</v>
      </c>
      <c r="T36" s="2753"/>
      <c r="U36" s="2753"/>
      <c r="V36" s="2753"/>
      <c r="W36" s="2753"/>
      <c r="X36" s="2753"/>
      <c r="Y36" s="2753"/>
      <c r="Z36" s="2753"/>
      <c r="AA36" s="2753"/>
      <c r="AB36" s="2753"/>
      <c r="AC36" s="2753"/>
      <c r="AD36" s="2753"/>
      <c r="AE36" s="2753"/>
      <c r="AF36" s="2753"/>
      <c r="AG36" s="2753"/>
      <c r="AH36" s="2753"/>
      <c r="AI36" s="2753"/>
      <c r="AJ36" s="2753"/>
      <c r="AK36" s="2753"/>
      <c r="AL36" s="2753"/>
      <c r="AM36" s="2753"/>
      <c r="AN36" s="2753"/>
      <c r="AO36" s="2753"/>
      <c r="AP36" s="2753"/>
      <c r="AQ36" s="2753"/>
      <c r="AR36" s="2753"/>
      <c r="AS36" s="2753" t="s">
        <v>319</v>
      </c>
      <c r="AY36" s="1781">
        <v>14</v>
      </c>
    </row>
    <row customHeight="1" ht="14.699999999999998">
      <c r="Q37" s="1002"/>
      <c r="R37" s="1002"/>
      <c r="S37" s="2899" t="s">
        <v>88</v>
      </c>
      <c r="T37" s="2835" t="s">
        <v>446</v>
      </c>
      <c r="U37" s="927"/>
      <c r="V37" s="2900" t="s">
        <v>447</v>
      </c>
      <c r="W37" s="2901"/>
      <c r="X37" s="2901"/>
      <c r="Y37" s="2901"/>
      <c r="Z37" s="2901"/>
      <c r="AA37" s="2901"/>
      <c r="AB37" s="2901"/>
      <c r="AC37" s="2901"/>
      <c r="AD37" s="2901"/>
      <c r="AE37" s="2902"/>
      <c r="AF37" s="2903" t="s">
        <v>448</v>
      </c>
      <c r="AG37" s="2900" t="s">
        <v>447</v>
      </c>
      <c r="AH37" s="2901"/>
      <c r="AI37" s="2901"/>
      <c r="AJ37" s="2901"/>
      <c r="AK37" s="2901"/>
      <c r="AL37" s="2901"/>
      <c r="AM37" s="2901"/>
      <c r="AN37" s="2901"/>
      <c r="AO37" s="2901"/>
      <c r="AP37" s="2902"/>
      <c r="AQ37" s="2903" t="s">
        <v>449</v>
      </c>
      <c r="AR37" s="2906" t="s">
        <v>450</v>
      </c>
      <c r="AS37" s="2753"/>
      <c r="AY37" s="1781">
        <v>14</v>
      </c>
    </row>
    <row s="34580" customFormat="1" customHeight="1" ht="19.95">
      <c r="A38" s="1992"/>
      <c r="B38" s="1992"/>
      <c r="C38" s="1992"/>
      <c r="D38" s="1992"/>
      <c r="E38" s="1992"/>
      <c r="F38" s="1992"/>
      <c r="G38" s="1992"/>
      <c r="H38" s="1992"/>
      <c r="I38" s="1992"/>
      <c r="J38" s="1992"/>
      <c r="K38" s="1992"/>
      <c r="L38" s="2606"/>
      <c r="M38" s="1988"/>
      <c r="N38" s="1988"/>
      <c r="O38" s="1988"/>
      <c r="P38" s="2607"/>
      <c r="Q38" s="1002"/>
      <c r="R38" s="1002"/>
      <c r="S38" s="2899"/>
      <c r="T38" s="2835"/>
      <c r="U38" s="1657"/>
      <c r="V38" s="2992" t="s">
        <v>550</v>
      </c>
      <c r="W38" s="2991" t="s">
        <v>551</v>
      </c>
      <c r="X38" s="2991"/>
      <c r="Y38" s="2991"/>
      <c r="Z38" s="2991" t="s">
        <v>552</v>
      </c>
      <c r="AA38" s="2991"/>
      <c r="AB38" s="2991"/>
      <c r="AC38" s="2920" t="s">
        <v>454</v>
      </c>
      <c r="AD38" s="2939"/>
      <c r="AE38" s="2940"/>
      <c r="AF38" s="2904"/>
      <c r="AG38" s="2992" t="s">
        <v>550</v>
      </c>
      <c r="AH38" s="2991" t="s">
        <v>551</v>
      </c>
      <c r="AI38" s="2991"/>
      <c r="AJ38" s="2991"/>
      <c r="AK38" s="2991" t="s">
        <v>552</v>
      </c>
      <c r="AL38" s="2991"/>
      <c r="AM38" s="2991"/>
      <c r="AN38" s="2920" t="s">
        <v>454</v>
      </c>
      <c r="AO38" s="2939"/>
      <c r="AP38" s="2940"/>
      <c r="AQ38" s="2904"/>
      <c r="AR38" s="2907"/>
      <c r="AS38" s="2753"/>
      <c r="AT38" s="2262"/>
      <c r="AU38" s="2262"/>
      <c r="AV38" s="2262"/>
      <c r="AW38" s="2262"/>
      <c r="AX38" s="2262"/>
      <c r="AY38" s="2257">
        <v>19</v>
      </c>
    </row>
    <row customHeight="1" ht="19.95">
      <c r="Q39" s="1002"/>
      <c r="R39" s="1002"/>
      <c r="S39" s="2899"/>
      <c r="T39" s="2835"/>
      <c r="U39" s="1657"/>
      <c r="V39" s="2992"/>
      <c r="W39" s="2991" t="s">
        <v>553</v>
      </c>
      <c r="X39" s="2991" t="s">
        <v>554</v>
      </c>
      <c r="Y39" s="2991"/>
      <c r="Z39" s="2991" t="s">
        <v>555</v>
      </c>
      <c r="AA39" s="2991" t="s">
        <v>554</v>
      </c>
      <c r="AB39" s="2991"/>
      <c r="AC39" s="2921"/>
      <c r="AD39" s="2941"/>
      <c r="AE39" s="2942"/>
      <c r="AF39" s="2904"/>
      <c r="AG39" s="2992"/>
      <c r="AH39" s="2991" t="s">
        <v>553</v>
      </c>
      <c r="AI39" s="2991" t="s">
        <v>554</v>
      </c>
      <c r="AJ39" s="2991"/>
      <c r="AK39" s="2991" t="s">
        <v>555</v>
      </c>
      <c r="AL39" s="2991" t="s">
        <v>554</v>
      </c>
      <c r="AM39" s="2991"/>
      <c r="AN39" s="2921"/>
      <c r="AO39" s="2941"/>
      <c r="AP39" s="2942"/>
      <c r="AQ39" s="2904"/>
      <c r="AR39" s="2907"/>
      <c r="AS39" s="2753"/>
      <c r="AY39" s="1781">
        <v>19</v>
      </c>
    </row>
    <row customHeight="1" ht="61.949999999999996">
      <c r="A40" s="1996"/>
      <c r="B40" s="1996" t="s">
        <v>155</v>
      </c>
      <c r="C40" s="1996" t="s">
        <v>156</v>
      </c>
      <c r="D40" s="1996" t="s">
        <v>157</v>
      </c>
      <c r="E40" s="1990" t="s">
        <v>455</v>
      </c>
      <c r="F40" s="1990" t="s">
        <v>456</v>
      </c>
      <c r="G40" s="1990" t="s">
        <v>457</v>
      </c>
      <c r="H40" s="1990"/>
      <c r="I40" s="1990" t="s">
        <v>508</v>
      </c>
      <c r="J40" s="1990" t="s">
        <v>460</v>
      </c>
      <c r="K40" s="1990" t="s">
        <v>509</v>
      </c>
      <c r="L40" s="1990" t="s">
        <v>436</v>
      </c>
      <c r="Q40" s="1002"/>
      <c r="R40" s="1002"/>
      <c r="S40" s="2899"/>
      <c r="T40" s="2835"/>
      <c r="U40" s="928"/>
      <c r="V40" s="2992"/>
      <c r="W40" s="2991"/>
      <c r="X40" s="2609" t="s">
        <v>556</v>
      </c>
      <c r="Y40" s="2609" t="s">
        <v>557</v>
      </c>
      <c r="Z40" s="2991"/>
      <c r="AA40" s="2609" t="s">
        <v>558</v>
      </c>
      <c r="AB40" s="2609" t="s">
        <v>559</v>
      </c>
      <c r="AC40" s="2115" t="s">
        <v>464</v>
      </c>
      <c r="AD40" s="2896" t="s">
        <v>465</v>
      </c>
      <c r="AE40" s="2897"/>
      <c r="AF40" s="2905"/>
      <c r="AG40" s="2992"/>
      <c r="AH40" s="2991"/>
      <c r="AI40" s="2609" t="s">
        <v>556</v>
      </c>
      <c r="AJ40" s="2609" t="s">
        <v>557</v>
      </c>
      <c r="AK40" s="2991"/>
      <c r="AL40" s="2609" t="s">
        <v>558</v>
      </c>
      <c r="AM40" s="2609" t="s">
        <v>559</v>
      </c>
      <c r="AN40" s="2115" t="s">
        <v>464</v>
      </c>
      <c r="AO40" s="2896" t="s">
        <v>465</v>
      </c>
      <c r="AP40" s="2897"/>
      <c r="AQ40" s="2905"/>
      <c r="AR40" s="2908"/>
      <c r="AS40" s="2753"/>
      <c r="AY40" s="1781">
        <v>59</v>
      </c>
    </row>
    <row s="35197" customFormat="1" customHeight="1" ht="11.25" hidden="1">
      <c r="A41" s="1996"/>
      <c r="B41" s="1996"/>
      <c r="C41" s="1996"/>
      <c r="D41" s="1996"/>
      <c r="E41" s="1996"/>
      <c r="F41" s="1996"/>
      <c r="G41" s="1996"/>
      <c r="H41" s="1996"/>
      <c r="I41" s="1996"/>
      <c r="J41" s="1996"/>
      <c r="K41" s="1996"/>
      <c r="L41" s="1990"/>
      <c r="M41" s="1988"/>
      <c r="N41" s="1988"/>
      <c r="O41" s="1988"/>
      <c r="P41" s="1872"/>
      <c r="Q41" s="1873"/>
      <c r="R41" s="1880">
        <v>1</v>
      </c>
      <c r="S41" s="1903" t="s">
        <v>118</v>
      </c>
      <c r="T41" s="1881" t="s">
        <v>102</v>
      </c>
      <c r="U41" s="1871" t="str">
        <f>OFFSET(U41,0,-1)</f>
        <v>2</v>
      </c>
      <c r="V41" s="2108">
        <f>OFFSET(V41,0,-1)+1</f>
        <v>3</v>
      </c>
      <c r="W41" s="2605"/>
      <c r="X41" s="2605"/>
      <c r="Y41" s="2605"/>
      <c r="Z41" s="2605"/>
      <c r="AA41" s="2605"/>
      <c r="AB41" s="2108">
        <f>OFFSET(AB41,0,-1)+1</f>
        <v>1</v>
      </c>
      <c r="AC41" s="2108">
        <f>OFFSET(AC41,0,-1)+1</f>
        <v>2</v>
      </c>
      <c r="AD41" s="2898">
        <f>OFFSET(AD41,0,-1)+1</f>
        <v>3</v>
      </c>
      <c r="AE41" s="2898"/>
      <c r="AF41" s="2108">
        <f>OFFSET(AF41,0,-2)+1</f>
        <v>4</v>
      </c>
      <c r="AG41" s="2108">
        <f>OFFSET(AG41,0,-1)+1</f>
        <v>5</v>
      </c>
      <c r="AH41" s="2605"/>
      <c r="AI41" s="2605"/>
      <c r="AJ41" s="2605"/>
      <c r="AK41" s="2605"/>
      <c r="AL41" s="2605"/>
      <c r="AM41" s="2108">
        <f>OFFSET(AM41,0,-1)+1</f>
        <v>1</v>
      </c>
      <c r="AN41" s="2108">
        <f>OFFSET(AN41,0,-1)+1</f>
        <v>2</v>
      </c>
      <c r="AO41" s="2898">
        <f>OFFSET(AO41,0,-1)+1</f>
        <v>3</v>
      </c>
      <c r="AP41" s="2898"/>
      <c r="AQ41" s="2108">
        <f>OFFSET(AQ41,0,-2)+1</f>
        <v>4</v>
      </c>
      <c r="AR41" s="1871">
        <f>OFFSET(AR41,0,-1)</f>
        <v>4</v>
      </c>
      <c r="AS41" s="2108">
        <f>OFFSET(AS41,0,-1)+1</f>
        <v>5</v>
      </c>
      <c r="AT41" s="1137"/>
      <c r="AU41" s="1137"/>
      <c r="AV41" s="1137"/>
      <c r="AW41" s="1137"/>
      <c r="AX41" s="1137"/>
      <c r="AY41" s="1122">
        <v>0</v>
      </c>
    </row>
    <row customHeight="1" ht="24">
      <c r="A42" s="1989" t="s">
        <v>274</v>
      </c>
      <c r="B42" s="1989"/>
      <c r="C42" s="1989"/>
      <c r="D42" s="1989"/>
      <c r="E42" s="2884">
        <v>1</v>
      </c>
      <c r="F42" s="1989"/>
      <c r="G42" s="1989"/>
      <c r="H42" s="1989"/>
      <c r="I42" s="1989"/>
      <c r="J42" s="1989"/>
      <c r="K42" s="1989"/>
      <c r="L42" s="1990"/>
      <c r="M42" s="1991"/>
      <c r="N42" s="1991"/>
      <c r="O42" s="1991"/>
      <c r="P42" s="987"/>
      <c r="Q42" s="986"/>
      <c r="R42" s="981"/>
      <c r="S42" s="2119">
        <f>INDEX(PT_DIFFERENTIATION_NUM_NTAR,MATCH(A42,PT_DIFFERENTIATION_NTAR_ID,0))</f>
        <v>0</v>
      </c>
      <c r="T42" s="924" t="s">
        <v>143</v>
      </c>
      <c r="U42" s="926"/>
      <c r="V42" s="2868"/>
      <c r="W42" s="2869"/>
      <c r="X42" s="2869"/>
      <c r="Y42" s="2869"/>
      <c r="Z42" s="2869"/>
      <c r="AA42" s="2869"/>
      <c r="AB42" s="2869"/>
      <c r="AC42" s="2869"/>
      <c r="AD42" s="2869"/>
      <c r="AE42" s="2869"/>
      <c r="AF42" s="2870"/>
      <c r="AG42" s="2868" t="str">
        <f>INDEX(PT_DIFFERENTIATION_NTAR,MATCH(A42,PT_DIFFERENTIATION_NTAR_ID,0))</f>
        <v/>
      </c>
      <c r="AH42" s="2869"/>
      <c r="AI42" s="2869"/>
      <c r="AJ42" s="2869"/>
      <c r="AK42" s="2869"/>
      <c r="AL42" s="2869"/>
      <c r="AM42" s="2869"/>
      <c r="AN42" s="2869"/>
      <c r="AO42" s="2869"/>
      <c r="AP42" s="2869"/>
      <c r="AQ42" s="2869"/>
      <c r="AR42" s="2870"/>
      <c r="AS4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126"/>
      <c r="AV42" s="1126" t="str">
        <f>IF(T42="","",T42)</f>
        <v>Наименование тарифа</v>
      </c>
      <c r="AW42" s="1126"/>
      <c r="AX42" s="1126"/>
      <c r="AY42" s="1781">
        <v>23</v>
      </c>
    </row>
    <row customHeight="1" ht="24">
      <c r="A43" s="1989" t="s">
        <v>274</v>
      </c>
      <c r="B43" s="1989" t="s">
        <v>275</v>
      </c>
      <c r="C43" s="1989"/>
      <c r="D43" s="1989"/>
      <c r="E43" s="2885"/>
      <c r="F43" s="2884">
        <v>1</v>
      </c>
      <c r="G43" s="1989"/>
      <c r="H43" s="1989"/>
      <c r="I43" s="1989"/>
      <c r="J43" s="1989"/>
      <c r="K43" s="1989"/>
      <c r="L43" s="1990"/>
      <c r="M43" s="1991"/>
      <c r="N43" s="1991"/>
      <c r="O43" s="1991"/>
      <c r="P43" s="2113"/>
      <c r="Q43" s="978"/>
      <c r="R43" s="979"/>
      <c r="S43" s="2119" t="str">
        <f>INDEX(PT_DIFFERENTIATION_NUM_TER,MATCH(B43,PT_DIFFERENTIATION_TER_ID,0))</f>
        <v>.</v>
      </c>
      <c r="T43" s="934" t="s">
        <v>415</v>
      </c>
      <c r="U43" s="926"/>
      <c r="V43" s="2868"/>
      <c r="W43" s="2869"/>
      <c r="X43" s="2869"/>
      <c r="Y43" s="2869"/>
      <c r="Z43" s="2869"/>
      <c r="AA43" s="2869"/>
      <c r="AB43" s="2869"/>
      <c r="AC43" s="2869"/>
      <c r="AD43" s="2869"/>
      <c r="AE43" s="2869"/>
      <c r="AF43" s="2870"/>
      <c r="AG43" s="2868" t="str">
        <f>INDEX(PT_DIFFERENTIATION_TER,MATCH(B43,PT_DIFFERENTIATION_TER_ID,0))</f>
        <v/>
      </c>
      <c r="AH43" s="2869"/>
      <c r="AI43" s="2869"/>
      <c r="AJ43" s="2869"/>
      <c r="AK43" s="2869"/>
      <c r="AL43" s="2869"/>
      <c r="AM43" s="2869"/>
      <c r="AN43" s="2869"/>
      <c r="AO43" s="2869"/>
      <c r="AP43" s="2869"/>
      <c r="AQ43" s="2869"/>
      <c r="AR43" s="2870"/>
      <c r="AS43" s="1884" t="s">
        <v>416</v>
      </c>
      <c r="AU43" s="1126"/>
      <c r="AV43" s="1126" t="str">
        <f>IF(T43="","",T43)</f>
        <v>Территория действия тарифа</v>
      </c>
      <c r="AW43" s="1126"/>
      <c r="AX43" s="1126"/>
      <c r="AY43" s="1781">
        <v>23</v>
      </c>
    </row>
    <row customHeight="1" ht="24">
      <c r="A44" s="1989" t="s">
        <v>274</v>
      </c>
      <c r="B44" s="1989" t="s">
        <v>275</v>
      </c>
      <c r="C44" s="1989" t="s">
        <v>276</v>
      </c>
      <c r="D44" s="1989"/>
      <c r="E44" s="2885"/>
      <c r="F44" s="2885"/>
      <c r="G44" s="2884">
        <v>1</v>
      </c>
      <c r="H44" s="1989"/>
      <c r="I44" s="1989"/>
      <c r="J44" s="1989"/>
      <c r="K44" s="1989"/>
      <c r="L44" s="1990"/>
      <c r="M44" s="1991"/>
      <c r="N44" s="1991"/>
      <c r="O44" s="1991"/>
      <c r="P44" s="980"/>
      <c r="Q44" s="978"/>
      <c r="R44" s="979"/>
      <c r="S44" s="2119" t="str">
        <f>INDEX(PT_DIFFERENTIATION_NUM_CS,MATCH(C44,PT_DIFFERENTIATION_CS_ID,0))</f>
        <v>..</v>
      </c>
      <c r="T44" s="935" t="s">
        <v>548</v>
      </c>
      <c r="U44" s="926"/>
      <c r="V44" s="2868"/>
      <c r="W44" s="2869"/>
      <c r="X44" s="2869"/>
      <c r="Y44" s="2869"/>
      <c r="Z44" s="2869"/>
      <c r="AA44" s="2869"/>
      <c r="AB44" s="2869"/>
      <c r="AC44" s="2869"/>
      <c r="AD44" s="2869"/>
      <c r="AE44" s="2869"/>
      <c r="AF44" s="2870"/>
      <c r="AG44" s="2868" t="str">
        <f>INDEX(PT_DIFFERENTIATION_CS,MATCH(C44,PT_DIFFERENTIATION_CS_ID,0))</f>
        <v/>
      </c>
      <c r="AH44" s="2869"/>
      <c r="AI44" s="2869"/>
      <c r="AJ44" s="2869"/>
      <c r="AK44" s="2869"/>
      <c r="AL44" s="2869"/>
      <c r="AM44" s="2869"/>
      <c r="AN44" s="2869"/>
      <c r="AO44" s="2869"/>
      <c r="AP44" s="2869"/>
      <c r="AQ44" s="2869"/>
      <c r="AR44" s="2870"/>
      <c r="AS44" s="1884" t="s">
        <v>549</v>
      </c>
      <c r="AU44" s="1126"/>
      <c r="AV44" s="1126" t="str">
        <f>IF(T44="","",T44)</f>
        <v>Наименование централизованной системы горячего водоснабжения</v>
      </c>
      <c r="AW44" s="1126"/>
      <c r="AX44" s="1126"/>
      <c r="AY44" s="1781">
        <v>23</v>
      </c>
    </row>
    <row customHeight="1" ht="24">
      <c r="A45" s="1989" t="s">
        <v>274</v>
      </c>
      <c r="B45" s="1989" t="s">
        <v>275</v>
      </c>
      <c r="C45" s="1989" t="s">
        <v>276</v>
      </c>
      <c r="D45" s="1989" t="s">
        <v>561</v>
      </c>
      <c r="E45" s="2885"/>
      <c r="F45" s="2885"/>
      <c r="G45" s="2885"/>
      <c r="H45" s="2885"/>
      <c r="I45" s="2882" t="str">
        <f>S44&amp;".1"</f>
        <v>...1</v>
      </c>
      <c r="J45" s="1989"/>
      <c r="K45" s="1989"/>
      <c r="L45" s="1990"/>
      <c r="P45" s="2883">
        <v>1</v>
      </c>
      <c r="Q45" s="2107"/>
      <c r="R45" s="982"/>
      <c r="S45" s="2119" t="str">
        <f>$I45</f>
        <v>...1</v>
      </c>
      <c r="T45" s="911" t="s">
        <v>501</v>
      </c>
      <c r="U45" s="926"/>
      <c r="V45" s="2976"/>
      <c r="W45" s="2977"/>
      <c r="X45" s="2977"/>
      <c r="Y45" s="2977"/>
      <c r="Z45" s="2977"/>
      <c r="AA45" s="2977"/>
      <c r="AB45" s="2977"/>
      <c r="AC45" s="2977"/>
      <c r="AD45" s="2977"/>
      <c r="AE45" s="2977"/>
      <c r="AF45" s="2978"/>
      <c r="AG45" s="2979"/>
      <c r="AH45" s="2980"/>
      <c r="AI45" s="2980"/>
      <c r="AJ45" s="2980"/>
      <c r="AK45" s="2980"/>
      <c r="AL45" s="2980"/>
      <c r="AM45" s="2980"/>
      <c r="AN45" s="2980"/>
      <c r="AO45" s="2980"/>
      <c r="AP45" s="2980"/>
      <c r="AQ45" s="2980"/>
      <c r="AR45" s="2981"/>
      <c r="AS45" s="1884" t="s">
        <v>502</v>
      </c>
      <c r="AU45" s="1126"/>
      <c r="AV45" s="1126" t="str">
        <f>IF(T45="","",T45)</f>
        <v>Наименование признака дифференциации</v>
      </c>
      <c r="AW45" s="1126"/>
      <c r="AX45" s="1126"/>
      <c r="AY45" s="1781">
        <v>23</v>
      </c>
    </row>
    <row customHeight="1" ht="24">
      <c r="A46" s="1989" t="s">
        <v>274</v>
      </c>
      <c r="B46" s="1989" t="s">
        <v>275</v>
      </c>
      <c r="C46" s="1989" t="s">
        <v>276</v>
      </c>
      <c r="D46" s="1989" t="s">
        <v>561</v>
      </c>
      <c r="E46" s="2885"/>
      <c r="F46" s="2885"/>
      <c r="G46" s="2885"/>
      <c r="H46" s="2885"/>
      <c r="I46" s="2912"/>
      <c r="J46" s="2882" t="str">
        <f>I45&amp;".1"</f>
        <v>...1.1</v>
      </c>
      <c r="K46" s="1989"/>
      <c r="L46" s="1990" t="s">
        <v>424</v>
      </c>
      <c r="P46" s="2883"/>
      <c r="Q46" s="2883">
        <v>1</v>
      </c>
      <c r="R46" s="983"/>
      <c r="S46" s="2119" t="str">
        <f>$J46</f>
        <v>...1.1</v>
      </c>
      <c r="T46" s="912" t="s">
        <v>425</v>
      </c>
      <c r="U46" s="926"/>
      <c r="V46" s="2871"/>
      <c r="W46" s="2872"/>
      <c r="X46" s="2872"/>
      <c r="Y46" s="2872"/>
      <c r="Z46" s="2872"/>
      <c r="AA46" s="2872"/>
      <c r="AB46" s="2872"/>
      <c r="AC46" s="2872"/>
      <c r="AD46" s="2872"/>
      <c r="AE46" s="2872"/>
      <c r="AF46" s="2873"/>
      <c r="AG46" s="2871"/>
      <c r="AH46" s="2872"/>
      <c r="AI46" s="2872"/>
      <c r="AJ46" s="2872"/>
      <c r="AK46" s="2872"/>
      <c r="AL46" s="2872"/>
      <c r="AM46" s="2872"/>
      <c r="AN46" s="2872"/>
      <c r="AO46" s="2872"/>
      <c r="AP46" s="2872"/>
      <c r="AQ46" s="2872"/>
      <c r="AR46" s="2873"/>
      <c r="AS46" s="1933" t="s">
        <v>503</v>
      </c>
      <c r="AU46" s="1126"/>
      <c r="AV46" s="1126" t="str">
        <f>IF(T46="","",T46)</f>
        <v>Группа потребителей</v>
      </c>
      <c r="AW46" s="1126"/>
      <c r="AX46" s="1126"/>
      <c r="AY46" s="1781">
        <v>23</v>
      </c>
    </row>
    <row customHeight="1" ht="24">
      <c r="A47" s="1989" t="s">
        <v>274</v>
      </c>
      <c r="B47" s="1989" t="s">
        <v>275</v>
      </c>
      <c r="C47" s="1989" t="s">
        <v>276</v>
      </c>
      <c r="D47" s="1989" t="s">
        <v>561</v>
      </c>
      <c r="E47" s="2885"/>
      <c r="F47" s="2885"/>
      <c r="G47" s="2885"/>
      <c r="H47" s="2885"/>
      <c r="I47" s="2912"/>
      <c r="J47" s="2912"/>
      <c r="K47" s="2882" t="str">
        <f>J46&amp;".1"</f>
        <v>...1.1.1</v>
      </c>
      <c r="L47" s="1990"/>
      <c r="P47" s="2883"/>
      <c r="Q47" s="2883"/>
      <c r="R47" s="983">
        <v>1</v>
      </c>
      <c r="S47" s="2119" t="str">
        <f>$K47</f>
        <v>...1.1.1</v>
      </c>
      <c r="T47" s="2063"/>
      <c r="U47" s="926"/>
      <c r="V47" s="1986"/>
      <c r="W47" s="1986"/>
      <c r="X47" s="1986"/>
      <c r="Y47" s="1986"/>
      <c r="Z47" s="1986"/>
      <c r="AA47" s="1986"/>
      <c r="AB47" s="1987"/>
      <c r="AC47" s="2893"/>
      <c r="AD47" s="2894" t="s">
        <v>66</v>
      </c>
      <c r="AE47" s="2893"/>
      <c r="AF47" s="2894" t="s">
        <v>66</v>
      </c>
      <c r="AG47" s="1377"/>
      <c r="AH47" s="1377"/>
      <c r="AI47" s="1377"/>
      <c r="AJ47" s="1377"/>
      <c r="AK47" s="1377"/>
      <c r="AL47" s="1377"/>
      <c r="AM47" s="1883"/>
      <c r="AN47" s="2891"/>
      <c r="AO47" s="2733" t="s">
        <v>66</v>
      </c>
      <c r="AP47" s="2913"/>
      <c r="AQ47" s="2733" t="s">
        <v>19</v>
      </c>
      <c r="AR47" s="2064"/>
      <c r="AS47" s="29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137">
        <f>STRCHECKDATE(V48:AR48)</f>
      </c>
      <c r="AU47" s="1126"/>
      <c r="AV47" s="1126" t="str">
        <f>IF(T47="","",T47)</f>
        <v/>
      </c>
      <c r="AW47" s="1126"/>
      <c r="AX47" s="1126"/>
      <c r="AY47" s="1781">
        <v>23</v>
      </c>
    </row>
    <row customHeight="1" ht="0">
      <c r="A48" s="1989" t="s">
        <v>274</v>
      </c>
      <c r="B48" s="1989" t="s">
        <v>275</v>
      </c>
      <c r="C48" s="1989" t="s">
        <v>276</v>
      </c>
      <c r="D48" s="1989" t="s">
        <v>561</v>
      </c>
      <c r="E48" s="2885"/>
      <c r="F48" s="2885"/>
      <c r="G48" s="2885"/>
      <c r="H48" s="2885"/>
      <c r="I48" s="2912"/>
      <c r="J48" s="2912"/>
      <c r="K48" s="2882"/>
      <c r="L48" s="1990"/>
      <c r="P48" s="2883"/>
      <c r="Q48" s="2883"/>
      <c r="R48" s="983"/>
      <c r="S48" s="2116"/>
      <c r="T48" s="926"/>
      <c r="U48" s="926"/>
      <c r="V48" s="1986"/>
      <c r="W48" s="1986"/>
      <c r="X48" s="1986"/>
      <c r="Y48" s="1986"/>
      <c r="Z48" s="1986"/>
      <c r="AA48" s="1986"/>
      <c r="AB48" s="954" t="str">
        <f>AC47&amp;"-"&amp;AE47</f>
        <v>-</v>
      </c>
      <c r="AC48" s="2894"/>
      <c r="AD48" s="2894"/>
      <c r="AE48" s="2894"/>
      <c r="AF48" s="2894"/>
      <c r="AG48" s="951"/>
      <c r="AH48" s="951"/>
      <c r="AI48" s="951"/>
      <c r="AJ48" s="951"/>
      <c r="AK48" s="951"/>
      <c r="AL48" s="951"/>
      <c r="AM48" s="954" t="str">
        <f>AN47&amp;"-"&amp;AP47</f>
        <v>-</v>
      </c>
      <c r="AN48" s="2892"/>
      <c r="AO48" s="2733"/>
      <c r="AP48" s="2914"/>
      <c r="AQ48" s="2733"/>
      <c r="AR48" s="2065"/>
      <c r="AS48" s="2975"/>
      <c r="AU48" s="1126"/>
      <c r="AV48" s="1126" t="str">
        <f>IF(T48="","",T48)</f>
        <v/>
      </c>
      <c r="AW48" s="1126"/>
      <c r="AX48" s="1126"/>
      <c r="AY48" s="1781">
        <v>0</v>
      </c>
    </row>
    <row customHeight="1" ht="21">
      <c r="A49" s="1989" t="s">
        <v>274</v>
      </c>
      <c r="B49" s="1989" t="s">
        <v>275</v>
      </c>
      <c r="C49" s="1989" t="s">
        <v>276</v>
      </c>
      <c r="D49" s="1989" t="s">
        <v>561</v>
      </c>
      <c r="E49" s="2885"/>
      <c r="F49" s="2885"/>
      <c r="G49" s="2885"/>
      <c r="H49" s="2885"/>
      <c r="I49" s="2912"/>
      <c r="J49" s="2882"/>
      <c r="K49" s="1989"/>
      <c r="L49" s="1990"/>
      <c r="P49" s="2883"/>
      <c r="Q49" s="2883"/>
      <c r="R49" s="982"/>
      <c r="S49" s="1904"/>
      <c r="T49" s="913" t="s">
        <v>504</v>
      </c>
      <c r="U49" s="993"/>
      <c r="V49" s="993"/>
      <c r="W49" s="1226"/>
      <c r="X49" s="1226"/>
      <c r="Y49" s="1226"/>
      <c r="Z49" s="1226"/>
      <c r="AA49" s="1226"/>
      <c r="AB49" s="993"/>
      <c r="AC49" s="993"/>
      <c r="AD49" s="993"/>
      <c r="AE49" s="993"/>
      <c r="AF49" s="993"/>
      <c r="AG49" s="993"/>
      <c r="AH49" s="1226"/>
      <c r="AI49" s="1226"/>
      <c r="AJ49" s="1226"/>
      <c r="AK49" s="1226"/>
      <c r="AL49" s="1226"/>
      <c r="AM49" s="993"/>
      <c r="AN49" s="993"/>
      <c r="AO49" s="993"/>
      <c r="AP49" s="993"/>
      <c r="AQ49" s="993"/>
      <c r="AR49" s="993"/>
      <c r="AS49" s="1884" t="s">
        <v>505</v>
      </c>
      <c r="AU49" s="1126"/>
      <c r="AV49" s="1126" t="str">
        <f>IF(T49="","",T49)</f>
        <v>Добавить значение признака дифференциации</v>
      </c>
      <c r="AW49" s="1126"/>
      <c r="AX49" s="1126"/>
      <c r="AY49" s="1781">
        <v>20</v>
      </c>
    </row>
    <row customHeight="1" ht="22.049999999999997">
      <c r="A50" s="1989" t="s">
        <v>274</v>
      </c>
      <c r="B50" s="1989" t="s">
        <v>275</v>
      </c>
      <c r="C50" s="1989" t="s">
        <v>276</v>
      </c>
      <c r="D50" s="1989" t="s">
        <v>561</v>
      </c>
      <c r="E50" s="2885"/>
      <c r="F50" s="2885"/>
      <c r="G50" s="2885"/>
      <c r="H50" s="2885"/>
      <c r="I50" s="2882"/>
      <c r="J50" s="1989"/>
      <c r="K50" s="1989"/>
      <c r="L50" s="1990"/>
      <c r="P50" s="2883"/>
      <c r="Q50" s="2107"/>
      <c r="R50" s="982"/>
      <c r="S50" s="1904"/>
      <c r="T50" s="991" t="s">
        <v>430</v>
      </c>
      <c r="U50" s="993"/>
      <c r="V50" s="993"/>
      <c r="W50" s="1226"/>
      <c r="X50" s="1226"/>
      <c r="Y50" s="1226"/>
      <c r="Z50" s="1226"/>
      <c r="AA50" s="1226"/>
      <c r="AB50" s="993"/>
      <c r="AC50" s="993"/>
      <c r="AD50" s="993"/>
      <c r="AE50" s="993"/>
      <c r="AF50" s="992"/>
      <c r="AG50" s="993"/>
      <c r="AH50" s="1226"/>
      <c r="AI50" s="1226"/>
      <c r="AJ50" s="1226"/>
      <c r="AK50" s="1226"/>
      <c r="AL50" s="1226"/>
      <c r="AM50" s="993"/>
      <c r="AN50" s="993"/>
      <c r="AO50" s="993"/>
      <c r="AP50" s="993"/>
      <c r="AQ50" s="992"/>
      <c r="AR50" s="993"/>
      <c r="AS50" s="2066"/>
      <c r="AU50" s="1126"/>
      <c r="AV50" s="1126" t="str">
        <f>IF(T50="","",T50)</f>
        <v>Добавить группу потребителей</v>
      </c>
      <c r="AW50" s="1126"/>
      <c r="AX50" s="1126"/>
      <c r="AY50" s="1781">
        <v>21</v>
      </c>
    </row>
    <row customHeight="1" ht="22.049999999999997">
      <c r="A51" s="1989" t="s">
        <v>274</v>
      </c>
      <c r="B51" s="1989" t="s">
        <v>275</v>
      </c>
      <c r="C51" s="1989" t="s">
        <v>276</v>
      </c>
      <c r="D51" s="1989" t="s">
        <v>561</v>
      </c>
      <c r="E51" s="2885"/>
      <c r="F51" s="2885"/>
      <c r="G51" s="2885"/>
      <c r="H51" s="2884"/>
      <c r="I51" s="1989"/>
      <c r="J51" s="1989"/>
      <c r="K51" s="1989"/>
      <c r="L51" s="1990"/>
      <c r="M51" s="1991"/>
      <c r="N51" s="1991"/>
      <c r="O51" s="1163"/>
      <c r="P51" s="986"/>
      <c r="Q51" s="1001"/>
      <c r="R51" s="981"/>
      <c r="S51" s="1904"/>
      <c r="T51" s="998" t="s">
        <v>506</v>
      </c>
      <c r="U51" s="993"/>
      <c r="V51" s="993"/>
      <c r="W51" s="1226"/>
      <c r="X51" s="1226"/>
      <c r="Y51" s="1226"/>
      <c r="Z51" s="1226"/>
      <c r="AA51" s="1226"/>
      <c r="AB51" s="993"/>
      <c r="AC51" s="993"/>
      <c r="AD51" s="993"/>
      <c r="AE51" s="993"/>
      <c r="AF51" s="992"/>
      <c r="AG51" s="993"/>
      <c r="AH51" s="1226"/>
      <c r="AI51" s="1226"/>
      <c r="AJ51" s="1226"/>
      <c r="AK51" s="1226"/>
      <c r="AL51" s="1226"/>
      <c r="AM51" s="993"/>
      <c r="AN51" s="993"/>
      <c r="AO51" s="993"/>
      <c r="AP51" s="993"/>
      <c r="AQ51" s="992"/>
      <c r="AR51" s="993"/>
      <c r="AS51" s="929"/>
      <c r="AU51" s="1126"/>
      <c r="AV51" s="1126" t="str">
        <f>IF(T51="","",T51)</f>
        <v>Добавить наименование признака дифференциации</v>
      </c>
      <c r="AW51" s="1126"/>
      <c r="AX51" s="1126"/>
      <c r="AY51" s="1781">
        <v>21</v>
      </c>
    </row>
    <row s="34658" customFormat="1" customHeight="1" ht="0">
      <c r="A52" s="1969" t="s">
        <v>274</v>
      </c>
      <c r="B52" s="1969" t="s">
        <v>275</v>
      </c>
      <c r="C52" s="1940"/>
      <c r="D52" s="1940"/>
      <c r="E52" s="2885"/>
      <c r="F52" s="2884"/>
      <c r="G52" s="1940"/>
      <c r="H52" s="1940"/>
      <c r="I52" s="1940"/>
      <c r="J52" s="1940"/>
      <c r="K52" s="1940"/>
      <c r="L52" s="2120"/>
      <c r="M52" s="1947"/>
      <c r="N52" s="1947"/>
      <c r="P52" s="1942"/>
      <c r="Q52" s="1943"/>
      <c r="R52" s="1942"/>
      <c r="S52" s="1948"/>
      <c r="T52" s="1951" t="s">
        <v>433</v>
      </c>
      <c r="U52" s="1950"/>
      <c r="V52" s="1950"/>
      <c r="W52" s="1950"/>
      <c r="X52" s="1950"/>
      <c r="Y52" s="1950"/>
      <c r="Z52" s="1950"/>
      <c r="AA52" s="1950"/>
      <c r="AB52" s="1950"/>
      <c r="AC52" s="1950"/>
      <c r="AD52" s="1950"/>
      <c r="AE52" s="1950"/>
      <c r="AF52" s="1950"/>
      <c r="AG52" s="1950"/>
      <c r="AH52" s="1950"/>
      <c r="AI52" s="1950"/>
      <c r="AJ52" s="1950"/>
      <c r="AK52" s="1950"/>
      <c r="AL52" s="1950"/>
      <c r="AM52" s="1950"/>
      <c r="AN52" s="1950"/>
      <c r="AO52" s="1950"/>
      <c r="AP52" s="1950"/>
      <c r="AQ52" s="1950"/>
      <c r="AR52" s="1950"/>
      <c r="AS52" s="1950"/>
      <c r="AU52" s="1415"/>
      <c r="AV52" s="1415" t="str">
        <f>IF(T52="","",T52)</f>
        <v>Добавить централизованную систему для дифференциации</v>
      </c>
      <c r="AW52" s="1415"/>
      <c r="AX52" s="1415"/>
      <c r="AY52" s="1144">
        <v>0</v>
      </c>
    </row>
    <row s="34658" customFormat="1" customHeight="1" ht="0">
      <c r="A53" s="1969" t="s">
        <v>274</v>
      </c>
      <c r="B53" s="1969"/>
      <c r="C53" s="1969"/>
      <c r="D53" s="1969"/>
      <c r="E53" s="2884"/>
      <c r="F53" s="1969"/>
      <c r="G53" s="1969"/>
      <c r="H53" s="1969"/>
      <c r="I53" s="1969"/>
      <c r="J53" s="1969"/>
      <c r="K53" s="1969"/>
      <c r="L53" s="1972"/>
      <c r="M53" s="1947"/>
      <c r="N53" s="1947"/>
      <c r="O53" s="1144"/>
      <c r="P53" s="1006"/>
      <c r="Q53" s="1970"/>
      <c r="R53" s="1006"/>
      <c r="S53" s="1948"/>
      <c r="T53" s="1951" t="s">
        <v>434</v>
      </c>
      <c r="U53" s="1950"/>
      <c r="V53" s="1950"/>
      <c r="W53" s="1950"/>
      <c r="X53" s="1950"/>
      <c r="Y53" s="1950"/>
      <c r="Z53" s="1950"/>
      <c r="AA53" s="1950"/>
      <c r="AB53" s="1950"/>
      <c r="AC53" s="1950"/>
      <c r="AD53" s="1950"/>
      <c r="AE53" s="1950"/>
      <c r="AF53" s="1950"/>
      <c r="AG53" s="1950"/>
      <c r="AH53" s="1950"/>
      <c r="AI53" s="1950"/>
      <c r="AJ53" s="1950"/>
      <c r="AK53" s="1950"/>
      <c r="AL53" s="1950"/>
      <c r="AM53" s="1950"/>
      <c r="AN53" s="1950"/>
      <c r="AO53" s="1950"/>
      <c r="AP53" s="1950"/>
      <c r="AQ53" s="1950"/>
      <c r="AR53" s="1950"/>
      <c r="AS53" s="1950"/>
      <c r="AU53" s="1126"/>
      <c r="AV53" s="1126" t="str">
        <f>IF(T53="","",T53)</f>
        <v>Добавить территорию для дифференциации</v>
      </c>
      <c r="AW53" s="1126"/>
      <c r="AX53" s="1126"/>
      <c r="AY53" s="1137">
        <v>0</v>
      </c>
    </row>
    <row s="34658" customFormat="1" customHeight="1" ht="0">
      <c r="A54" s="1940"/>
      <c r="B54" s="1940"/>
      <c r="C54" s="1940"/>
      <c r="D54" s="1940"/>
      <c r="E54" s="1969"/>
      <c r="F54" s="1940"/>
      <c r="G54" s="1940"/>
      <c r="H54" s="1940"/>
      <c r="I54" s="1940"/>
      <c r="J54" s="1940"/>
      <c r="K54" s="1940"/>
      <c r="L54" s="2120"/>
      <c r="M54" s="1947"/>
      <c r="N54" s="1947"/>
      <c r="P54" s="1942"/>
      <c r="Q54" s="1943"/>
      <c r="R54" s="1942"/>
      <c r="S54" s="1948"/>
      <c r="T54" s="1951" t="s">
        <v>466</v>
      </c>
      <c r="U54" s="1950"/>
      <c r="V54" s="1950"/>
      <c r="W54" s="1950"/>
      <c r="X54" s="1950"/>
      <c r="Y54" s="1950"/>
      <c r="Z54" s="1950"/>
      <c r="AA54" s="1950"/>
      <c r="AB54" s="1950"/>
      <c r="AC54" s="1950"/>
      <c r="AD54" s="1950"/>
      <c r="AE54" s="1950"/>
      <c r="AF54" s="1950"/>
      <c r="AG54" s="1950"/>
      <c r="AH54" s="1950"/>
      <c r="AI54" s="1950"/>
      <c r="AJ54" s="1950"/>
      <c r="AK54" s="1950"/>
      <c r="AL54" s="1950"/>
      <c r="AM54" s="1950"/>
      <c r="AN54" s="1950"/>
      <c r="AO54" s="1950"/>
      <c r="AP54" s="1950"/>
      <c r="AQ54" s="1950"/>
      <c r="AR54" s="1950"/>
      <c r="AS54" s="1950"/>
      <c r="AU54" s="1415"/>
      <c r="AV54" s="1415" t="str">
        <f>IF(T54="","",T54)</f>
        <v>Добавить наименование тарифа</v>
      </c>
      <c r="AW54" s="1415"/>
      <c r="AX54" s="1415"/>
      <c r="AY54" s="1144">
        <v>0</v>
      </c>
    </row>
    <row customHeight="1" ht="11.549999999999999">
      <c r="M55" s="1786"/>
      <c r="N55" s="1786"/>
      <c r="O55" s="1163"/>
      <c r="P55" s="1781"/>
      <c r="Q55" s="1781"/>
      <c r="R55" s="1781"/>
      <c r="S55" s="1781"/>
      <c r="AT55" s="1781"/>
      <c r="AU55" s="1781"/>
      <c r="AV55" s="1781"/>
      <c r="AW55" s="1781"/>
      <c r="AX55" s="1781"/>
      <c r="AY55" s="1781">
        <v>11</v>
      </c>
    </row>
    <row customHeight="1" ht="14.699999999999998">
      <c r="O56" s="1163"/>
      <c r="S56" s="1879"/>
      <c r="T56" s="2911"/>
      <c r="U56" s="2911"/>
      <c r="V56" s="2911"/>
      <c r="W56" s="2911"/>
      <c r="X56" s="2911"/>
      <c r="Y56" s="2911"/>
      <c r="Z56" s="2911"/>
      <c r="AA56" s="2911"/>
      <c r="AB56" s="2911"/>
      <c r="AC56" s="2911"/>
      <c r="AD56" s="2911"/>
      <c r="AE56" s="2911"/>
      <c r="AF56" s="2911"/>
      <c r="AG56" s="2911"/>
      <c r="AH56" s="2911"/>
      <c r="AI56" s="2911"/>
      <c r="AJ56" s="2911"/>
      <c r="AK56" s="2911"/>
      <c r="AL56" s="2911"/>
      <c r="AM56" s="2911"/>
      <c r="AN56" s="2911"/>
      <c r="AO56" s="2911"/>
      <c r="AP56" s="2911"/>
      <c r="AQ56" s="2911"/>
      <c r="AR56" s="2911"/>
      <c r="AS56" s="2911"/>
      <c r="AY56" s="1781">
        <v>14</v>
      </c>
    </row>
    <row customHeight="1" ht="14.699999999999998">
      <c r="O57" s="1163"/>
      <c r="AY57" s="1781">
        <v>14</v>
      </c>
    </row>
    <row customHeight="1" ht="14.699999999999998">
      <c r="O58" s="1163"/>
      <c r="S58" s="1879"/>
      <c r="T58" s="2911"/>
      <c r="U58" s="2911"/>
      <c r="V58" s="2911"/>
      <c r="W58" s="2911"/>
      <c r="X58" s="2911"/>
      <c r="Y58" s="2911"/>
      <c r="Z58" s="2911"/>
      <c r="AA58" s="2911"/>
      <c r="AB58" s="2911"/>
      <c r="AC58" s="2911"/>
      <c r="AD58" s="2911"/>
      <c r="AE58" s="2911"/>
      <c r="AF58" s="2911"/>
      <c r="AG58" s="2911"/>
      <c r="AH58" s="2911"/>
      <c r="AI58" s="2911"/>
      <c r="AJ58" s="2911"/>
      <c r="AK58" s="2911"/>
      <c r="AL58" s="2911"/>
      <c r="AM58" s="2911"/>
      <c r="AN58" s="2911"/>
      <c r="AO58" s="2911"/>
      <c r="AP58" s="2911"/>
      <c r="AQ58" s="2911"/>
      <c r="AR58" s="2911"/>
      <c r="AS58" s="2911"/>
      <c r="AY58" s="1781">
        <v>14</v>
      </c>
    </row>
    <row customHeight="1" ht="22.5" hidden="1">
      <c r="A59" s="1786" t="s">
        <v>82</v>
      </c>
      <c r="B59" s="1786">
        <v>0</v>
      </c>
      <c r="C59" s="1786">
        <v>0</v>
      </c>
      <c r="D59" s="1786">
        <v>0</v>
      </c>
      <c r="E59" s="1786">
        <v>0</v>
      </c>
      <c r="F59" s="1786">
        <v>0</v>
      </c>
      <c r="G59" s="1786">
        <v>0</v>
      </c>
      <c r="H59" s="1786">
        <v>0</v>
      </c>
      <c r="I59" s="1786">
        <v>0</v>
      </c>
      <c r="J59" s="1786">
        <v>0</v>
      </c>
      <c r="K59" s="1786">
        <v>0</v>
      </c>
      <c r="L59" s="2104">
        <v>0</v>
      </c>
      <c r="M59" s="1988">
        <v>0</v>
      </c>
      <c r="N59" s="1988">
        <v>0</v>
      </c>
      <c r="O59" s="1988">
        <v>0</v>
      </c>
      <c r="P59" s="2099">
        <v>3</v>
      </c>
      <c r="Q59" s="970">
        <v>3</v>
      </c>
      <c r="R59" s="970">
        <v>3</v>
      </c>
      <c r="S59" s="1207">
        <v>12</v>
      </c>
      <c r="T59" s="1781">
        <v>35</v>
      </c>
      <c r="U59" s="1781">
        <v>0</v>
      </c>
      <c r="V59" s="1781">
        <v>0</v>
      </c>
      <c r="W59" s="2257">
        <v>0</v>
      </c>
      <c r="X59" s="2257">
        <v>0</v>
      </c>
      <c r="Y59" s="2257">
        <v>0</v>
      </c>
      <c r="Z59" s="2257">
        <v>0</v>
      </c>
      <c r="AA59" s="2257">
        <v>0</v>
      </c>
      <c r="AB59" s="1781">
        <v>0</v>
      </c>
      <c r="AC59" s="1781">
        <v>0</v>
      </c>
      <c r="AD59" s="1781">
        <v>0</v>
      </c>
      <c r="AE59" s="1781">
        <v>0</v>
      </c>
      <c r="AF59" s="1781">
        <v>0</v>
      </c>
      <c r="AG59" s="1781">
        <v>19</v>
      </c>
      <c r="AH59" s="2257">
        <v>19</v>
      </c>
      <c r="AI59" s="2257">
        <v>19</v>
      </c>
      <c r="AJ59" s="2257">
        <v>19</v>
      </c>
      <c r="AK59" s="2257">
        <v>19</v>
      </c>
      <c r="AL59" s="2257">
        <v>19</v>
      </c>
      <c r="AM59" s="1781">
        <v>19</v>
      </c>
      <c r="AN59" s="1781">
        <v>11</v>
      </c>
      <c r="AO59" s="1781">
        <v>3</v>
      </c>
      <c r="AP59" s="1781">
        <v>11</v>
      </c>
      <c r="AQ59" s="1781">
        <v>0</v>
      </c>
      <c r="AR59" s="1781">
        <v>4</v>
      </c>
      <c r="AS59" s="1781">
        <v>115</v>
      </c>
      <c r="AT59" s="1137">
        <v>10</v>
      </c>
      <c r="AU59" s="1137">
        <v>10</v>
      </c>
      <c r="AV59" s="1137">
        <v>10</v>
      </c>
      <c r="AW59" s="1137">
        <v>10</v>
      </c>
      <c r="AX59" s="1137">
        <v>10</v>
      </c>
      <c r="AY59" s="1781">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A12DF2-1824-9029-3178-1DA1E9BC9E1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34657" width="11.57421875" hidden="1" customWidth="1"/>
    <col min="2" max="2" style="34657" width="11.00390625" hidden="1" customWidth="1"/>
    <col min="3" max="3" style="34657" width="10.57421875" hidden="1"/>
    <col min="4" max="4" style="34657" width="12.8515625" hidden="1" customWidth="1"/>
    <col min="5" max="5" style="34657" width="10.00390625" hidden="1" customWidth="1"/>
    <col min="6" max="6" style="34657" width="8.7109375" hidden="1" customWidth="1"/>
    <col min="7" max="7" style="34657" width="7.57421875" hidden="1" customWidth="1"/>
    <col min="8" max="8" style="34657" width="11.421875" hidden="1" customWidth="1"/>
    <col min="9" max="9" style="34657" width="12.00390625" hidden="1" customWidth="1"/>
    <col min="10" max="10" style="34657" width="9.8515625" hidden="1" customWidth="1"/>
    <col min="11" max="11" style="34657" width="11.421875" hidden="1" customWidth="1"/>
    <col min="12" max="12" style="35439" width="19.140625" hidden="1" customWidth="1"/>
    <col min="13" max="14" style="35440" width="12.28125" hidden="1" customWidth="1"/>
    <col min="15" max="15" style="35440" width="23.421875" hidden="1" customWidth="1"/>
    <col min="16" max="16" style="35440" width="3.7109375" hidden="1" customWidth="1"/>
    <col min="17" max="17" style="35625" width="3.7109375" hidden="1" customWidth="1"/>
    <col min="18" max="18" style="35442" width="3.00390625" customWidth="1"/>
    <col min="19" max="19" style="35443" width="12.00390625" customWidth="1"/>
    <col min="20" max="20" style="34580" width="31.00390625" customWidth="1"/>
    <col min="21" max="21" style="34580" width="0.140625" customWidth="1"/>
    <col min="22" max="25" style="34580" width="21.7109375" hidden="1" customWidth="1"/>
    <col min="26" max="26" style="34580" width="11.7109375" hidden="1" customWidth="1"/>
    <col min="27" max="27" style="34580" width="3.7109375" hidden="1" customWidth="1"/>
    <col min="28" max="28" style="34580" width="11.7109375" hidden="1" customWidth="1"/>
    <col min="29" max="29" style="34580" width="8.57421875" hidden="1" customWidth="1"/>
    <col min="30" max="30" style="34580" width="3.7109375" customWidth="1"/>
    <col min="31" max="32" style="34580" width="3.00390625" customWidth="1"/>
    <col min="33" max="33" style="34580" width="24.00390625" customWidth="1"/>
    <col min="34" max="34" style="34580" width="3.7109375" customWidth="1"/>
    <col min="35" max="36" style="34580" width="3.00390625" customWidth="1"/>
    <col min="37" max="37" style="34580" width="24.00390625" customWidth="1"/>
    <col min="38" max="38" style="34580" width="3.7109375" customWidth="1"/>
    <col min="39" max="40" style="34580" width="3.00390625" customWidth="1"/>
    <col min="41" max="41" style="34580" width="18.00390625" customWidth="1"/>
    <col min="42" max="42" style="34580" width="3.7109375" customWidth="1"/>
    <col min="43" max="44" style="34580" width="3.00390625" customWidth="1"/>
    <col min="45" max="45" style="34580" width="18.00390625" customWidth="1"/>
    <col min="46" max="49" style="34580" width="21.00390625" customWidth="1"/>
    <col min="50" max="50" style="34580" width="11.00390625" customWidth="1"/>
    <col min="51" max="51" style="34580" width="3.7109375" customWidth="1"/>
    <col min="52" max="52" style="34580" width="11.00390625" customWidth="1"/>
    <col min="53" max="53" style="34580" width="8.57421875" hidden="1" customWidth="1"/>
    <col min="54" max="54" style="34580" width="4.00390625" customWidth="1"/>
    <col min="55" max="55" style="34580" width="115.00390625" customWidth="1"/>
    <col min="56" max="60" style="34658" width="10.00390625" customWidth="1"/>
    <col min="61" max="61" style="34580" width="10.57421875" hidden="1"/>
  </cols>
  <sheetData>
    <row customHeight="1" ht="22.5" hidden="1">
      <c r="W1" s="953"/>
      <c r="Y1" s="953"/>
      <c r="Z1" s="953"/>
      <c r="AW1" s="953"/>
      <c r="AX1" s="953"/>
      <c r="BI1" s="1781" t="s">
        <v>14</v>
      </c>
    </row>
    <row customHeight="1" ht="21" hidden="1">
      <c r="A2" s="1989"/>
      <c r="B2" s="1989"/>
      <c r="C2" s="1989"/>
      <c r="D2" s="1989"/>
      <c r="E2" s="2884">
        <v>1</v>
      </c>
      <c r="F2" s="1989"/>
      <c r="G2" s="1989"/>
      <c r="H2" s="1989"/>
      <c r="I2" s="1989"/>
      <c r="J2" s="1989"/>
      <c r="K2" s="1989"/>
      <c r="L2" s="1990"/>
      <c r="M2" s="1991"/>
      <c r="N2" s="1991"/>
      <c r="O2" s="1991"/>
      <c r="P2" s="2035"/>
      <c r="Q2" s="1499"/>
      <c r="R2" s="981"/>
      <c r="S2" s="2119">
        <f>INDEX(PT_DIFFERENTIATION_NUM_NTAR,MATCH(A2,PT_DIFFERENTIATION_NTAR_ID,0))</f>
      </c>
      <c r="T2" s="924" t="s">
        <v>143</v>
      </c>
      <c r="U2" s="926"/>
      <c r="V2" s="2869"/>
      <c r="W2" s="2869"/>
      <c r="X2" s="2869"/>
      <c r="Y2" s="2869"/>
      <c r="Z2" s="2869"/>
      <c r="AA2" s="2869"/>
      <c r="AB2" s="2869"/>
      <c r="AC2" s="2870"/>
      <c r="AD2" s="2868">
        <f>INDEX(PT_DIFFERENTIATION_NTAR,MATCH(A2,PT_DIFFERENTIATION_NTAR_ID,0))</f>
      </c>
      <c r="AE2" s="2869"/>
      <c r="AF2" s="2869"/>
      <c r="AG2" s="2869"/>
      <c r="AH2" s="2869"/>
      <c r="AI2" s="2869"/>
      <c r="AJ2" s="2869"/>
      <c r="AK2" s="2869"/>
      <c r="AL2" s="2869"/>
      <c r="AM2" s="2869"/>
      <c r="AN2" s="2869"/>
      <c r="AO2" s="2869"/>
      <c r="AP2" s="2869"/>
      <c r="AQ2" s="2869"/>
      <c r="AR2" s="2869"/>
      <c r="AS2" s="2869"/>
      <c r="AT2" s="2869"/>
      <c r="AU2" s="2869"/>
      <c r="AV2" s="2869"/>
      <c r="AW2" s="2869"/>
      <c r="AX2" s="2869"/>
      <c r="AY2" s="2869"/>
      <c r="AZ2" s="2869"/>
      <c r="BA2" s="2869"/>
      <c r="BB2" s="2870"/>
      <c r="BC2"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26"/>
      <c r="BF2" s="1126" t="str">
        <f>IF(T2="","",T2)</f>
        <v>Наименование тарифа</v>
      </c>
      <c r="BG2" s="1126"/>
      <c r="BH2" s="1126"/>
      <c r="BI2" s="1781">
        <v>0</v>
      </c>
    </row>
    <row customHeight="1" ht="21" hidden="1">
      <c r="A3" s="1989"/>
      <c r="B3" s="1989"/>
      <c r="C3" s="1989"/>
      <c r="D3" s="1989"/>
      <c r="E3" s="2885"/>
      <c r="F3" s="2884">
        <v>1</v>
      </c>
      <c r="G3" s="1989"/>
      <c r="H3" s="1989"/>
      <c r="I3" s="1989"/>
      <c r="J3" s="1989"/>
      <c r="K3" s="1989"/>
      <c r="L3" s="1990"/>
      <c r="M3" s="1991"/>
      <c r="N3" s="1991"/>
      <c r="O3" s="1991"/>
      <c r="P3" s="2036"/>
      <c r="Q3" s="2037"/>
      <c r="R3" s="979"/>
      <c r="S3" s="2119">
        <f>INDEX(PT_DIFFERENTIATION_NUM_TER,MATCH(B3,PT_DIFFERENTIATION_TER_ID,0))</f>
      </c>
      <c r="T3" s="934" t="s">
        <v>415</v>
      </c>
      <c r="U3" s="926"/>
      <c r="V3" s="2869"/>
      <c r="W3" s="2869"/>
      <c r="X3" s="2869"/>
      <c r="Y3" s="2869"/>
      <c r="Z3" s="2869"/>
      <c r="AA3" s="2869"/>
      <c r="AB3" s="2869"/>
      <c r="AC3" s="2870"/>
      <c r="AD3" s="2868">
        <f>INDEX(PT_DIFFERENTIATION_TER,MATCH(B3,PT_DIFFERENTIATION_TER_ID,0))</f>
      </c>
      <c r="AE3" s="2869"/>
      <c r="AF3" s="2869"/>
      <c r="AG3" s="2869"/>
      <c r="AH3" s="2869"/>
      <c r="AI3" s="2869"/>
      <c r="AJ3" s="2869"/>
      <c r="AK3" s="2869"/>
      <c r="AL3" s="2869"/>
      <c r="AM3" s="2869"/>
      <c r="AN3" s="2869"/>
      <c r="AO3" s="2869"/>
      <c r="AP3" s="2869"/>
      <c r="AQ3" s="2869"/>
      <c r="AR3" s="2869"/>
      <c r="AS3" s="2869"/>
      <c r="AT3" s="2869"/>
      <c r="AU3" s="2869"/>
      <c r="AV3" s="2869"/>
      <c r="AW3" s="2869"/>
      <c r="AX3" s="2869"/>
      <c r="AY3" s="2869"/>
      <c r="AZ3" s="2869"/>
      <c r="BA3" s="2869"/>
      <c r="BB3" s="2870"/>
      <c r="BC3" s="1884" t="s">
        <v>416</v>
      </c>
      <c r="BE3" s="1126"/>
      <c r="BF3" s="1126" t="str">
        <f>IF(T3="","",T3)</f>
        <v>Территория действия тарифа</v>
      </c>
      <c r="BG3" s="1126"/>
      <c r="BH3" s="1126"/>
      <c r="BI3" s="1781">
        <v>0</v>
      </c>
    </row>
    <row customHeight="1" ht="33.75" hidden="1">
      <c r="A4" s="1989"/>
      <c r="B4" s="1989"/>
      <c r="C4" s="1989"/>
      <c r="D4" s="1989"/>
      <c r="E4" s="2885"/>
      <c r="F4" s="2885"/>
      <c r="G4" s="2884">
        <v>1</v>
      </c>
      <c r="H4" s="1989"/>
      <c r="I4" s="1989"/>
      <c r="J4" s="1989"/>
      <c r="K4" s="1989"/>
      <c r="L4" s="1990"/>
      <c r="M4" s="1991"/>
      <c r="N4" s="1991"/>
      <c r="O4" s="1991"/>
      <c r="P4" s="2038"/>
      <c r="Q4" s="2037"/>
      <c r="R4" s="979"/>
      <c r="S4" s="2119">
        <f>INDEX(PT_DIFFERENTIATION_NUM_CS,MATCH(C4,PT_DIFFERENTIATION_CS_ID,0))</f>
      </c>
      <c r="T4" s="935" t="s">
        <v>548</v>
      </c>
      <c r="U4" s="926"/>
      <c r="V4" s="2869"/>
      <c r="W4" s="2869"/>
      <c r="X4" s="2869"/>
      <c r="Y4" s="2869"/>
      <c r="Z4" s="2869"/>
      <c r="AA4" s="2869"/>
      <c r="AB4" s="2869"/>
      <c r="AC4" s="2870"/>
      <c r="AD4" s="2868">
        <f>INDEX(PT_DIFFERENTIATION_CS,MATCH(C4,PT_DIFFERENTIATION_CS_ID,0))</f>
      </c>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869"/>
      <c r="BB4" s="2870"/>
      <c r="BC4" s="1884" t="s">
        <v>549</v>
      </c>
      <c r="BE4" s="1126"/>
      <c r="BF4" s="1126" t="str">
        <f>IF(T4="","",T4)</f>
        <v>Наименование централизованной системы горячего водоснабжения</v>
      </c>
      <c r="BG4" s="1126"/>
      <c r="BH4" s="1126"/>
      <c r="BI4" s="1781">
        <v>0</v>
      </c>
    </row>
    <row s="34658" customFormat="1" customHeight="1" ht="14.25" hidden="1">
      <c r="A5" s="1969"/>
      <c r="B5" s="1969"/>
      <c r="C5" s="1969"/>
      <c r="D5" s="1969"/>
      <c r="E5" s="2885"/>
      <c r="F5" s="2885"/>
      <c r="G5" s="2885"/>
      <c r="H5" s="2884">
        <v>1</v>
      </c>
      <c r="I5" s="1969"/>
      <c r="J5" s="1969"/>
      <c r="K5" s="1969"/>
      <c r="L5" s="1972"/>
      <c r="M5" s="1941"/>
      <c r="N5" s="1941"/>
      <c r="O5" s="1941"/>
      <c r="P5" s="2123"/>
      <c r="Q5" s="2124"/>
      <c r="R5" s="983"/>
      <c r="S5" s="1668"/>
      <c r="T5" s="2125"/>
      <c r="U5" s="2010"/>
      <c r="V5" s="2923"/>
      <c r="W5" s="2923"/>
      <c r="X5" s="2923"/>
      <c r="Y5" s="2923"/>
      <c r="Z5" s="2923"/>
      <c r="AA5" s="2923"/>
      <c r="AB5" s="2923"/>
      <c r="AC5" s="2924"/>
      <c r="AD5" s="2922"/>
      <c r="AE5" s="2923"/>
      <c r="AF5" s="2923"/>
      <c r="AG5" s="2923"/>
      <c r="AH5" s="2923"/>
      <c r="AI5" s="2923"/>
      <c r="AJ5" s="2923"/>
      <c r="AK5" s="2923"/>
      <c r="AL5" s="2923"/>
      <c r="AM5" s="2923"/>
      <c r="AN5" s="2923"/>
      <c r="AO5" s="2923"/>
      <c r="AP5" s="2923"/>
      <c r="AQ5" s="2923"/>
      <c r="AR5" s="2923"/>
      <c r="AS5" s="2923"/>
      <c r="AT5" s="2923"/>
      <c r="AU5" s="2923"/>
      <c r="AV5" s="2923"/>
      <c r="AW5" s="2923"/>
      <c r="AX5" s="2923"/>
      <c r="AY5" s="2923"/>
      <c r="AZ5" s="2923"/>
      <c r="BA5" s="2923"/>
      <c r="BB5" s="2924"/>
      <c r="BC5" s="2011" t="s">
        <v>420</v>
      </c>
      <c r="BE5" s="1126"/>
      <c r="BF5" s="1126" t="str">
        <f>IF(T5="","",T5)</f>
        <v/>
      </c>
      <c r="BG5" s="1126"/>
      <c r="BH5" s="1126"/>
      <c r="BI5" s="1137">
        <v>0</v>
      </c>
    </row>
    <row s="34658" customFormat="1" customHeight="1" ht="14.25" hidden="1">
      <c r="A6" s="1969"/>
      <c r="B6" s="1969"/>
      <c r="C6" s="1969"/>
      <c r="D6" s="1969"/>
      <c r="E6" s="2885"/>
      <c r="F6" s="2885"/>
      <c r="G6" s="2885"/>
      <c r="H6" s="2885"/>
      <c r="I6" s="2882" t="str">
        <f>S5&amp;".1"</f>
        <v>.1</v>
      </c>
      <c r="J6" s="1969"/>
      <c r="K6" s="1969"/>
      <c r="L6" s="1972" t="s">
        <v>421</v>
      </c>
      <c r="M6" s="1136"/>
      <c r="N6" s="1136"/>
      <c r="O6" s="1136"/>
      <c r="P6" s="2883">
        <v>1</v>
      </c>
      <c r="Q6" s="2107"/>
      <c r="R6" s="982"/>
      <c r="S6" s="1668"/>
      <c r="T6" s="2009"/>
      <c r="U6" s="2010"/>
      <c r="V6" s="2923"/>
      <c r="W6" s="2923"/>
      <c r="X6" s="2923"/>
      <c r="Y6" s="2923"/>
      <c r="Z6" s="2923"/>
      <c r="AA6" s="2923"/>
      <c r="AB6" s="2923"/>
      <c r="AC6" s="2924"/>
      <c r="AD6" s="2922"/>
      <c r="AE6" s="2923"/>
      <c r="AF6" s="2923"/>
      <c r="AG6" s="2923"/>
      <c r="AH6" s="2923"/>
      <c r="AI6" s="2923"/>
      <c r="AJ6" s="2923"/>
      <c r="AK6" s="2923"/>
      <c r="AL6" s="2923"/>
      <c r="AM6" s="2923"/>
      <c r="AN6" s="2923"/>
      <c r="AO6" s="2923"/>
      <c r="AP6" s="2923"/>
      <c r="AQ6" s="2923"/>
      <c r="AR6" s="2923"/>
      <c r="AS6" s="2923"/>
      <c r="AT6" s="2923"/>
      <c r="AU6" s="2923"/>
      <c r="AV6" s="2923"/>
      <c r="AW6" s="2923"/>
      <c r="AX6" s="2923"/>
      <c r="AY6" s="2923"/>
      <c r="AZ6" s="2923"/>
      <c r="BA6" s="2923"/>
      <c r="BB6" s="2924"/>
      <c r="BC6" s="2011"/>
      <c r="BE6" s="1126"/>
      <c r="BF6" s="1126" t="str">
        <f>IF(T6="","",T6)</f>
        <v/>
      </c>
      <c r="BG6" s="1126"/>
      <c r="BH6" s="1126"/>
      <c r="BI6" s="1137">
        <v>0</v>
      </c>
    </row>
    <row s="34658" customFormat="1" customHeight="1" ht="14.25" hidden="1">
      <c r="A7" s="1969"/>
      <c r="B7" s="1969"/>
      <c r="C7" s="1969"/>
      <c r="D7" s="1969"/>
      <c r="E7" s="2885"/>
      <c r="F7" s="2885"/>
      <c r="G7" s="2885"/>
      <c r="H7" s="2885"/>
      <c r="I7" s="2912"/>
      <c r="J7" s="2882" t="str">
        <f>S5&amp;".1"</f>
        <v>.1</v>
      </c>
      <c r="K7" s="1969"/>
      <c r="L7" s="1972"/>
      <c r="M7" s="1136"/>
      <c r="N7" s="1136"/>
      <c r="O7" s="1136"/>
      <c r="P7" s="2883"/>
      <c r="Q7" s="2883">
        <v>1</v>
      </c>
      <c r="R7" s="983"/>
      <c r="S7" s="1668"/>
      <c r="T7" s="2025"/>
      <c r="U7" s="2010"/>
      <c r="V7" s="2923"/>
      <c r="W7" s="2923"/>
      <c r="X7" s="2923"/>
      <c r="Y7" s="2923"/>
      <c r="Z7" s="2923"/>
      <c r="AA7" s="2923"/>
      <c r="AB7" s="2923"/>
      <c r="AC7" s="2924"/>
      <c r="AD7" s="2922"/>
      <c r="AE7" s="2923"/>
      <c r="AF7" s="2923"/>
      <c r="AG7" s="2923"/>
      <c r="AH7" s="2923"/>
      <c r="AI7" s="2923"/>
      <c r="AJ7" s="2923"/>
      <c r="AK7" s="2923"/>
      <c r="AL7" s="2923"/>
      <c r="AM7" s="2923"/>
      <c r="AN7" s="2923"/>
      <c r="AO7" s="2923"/>
      <c r="AP7" s="2923"/>
      <c r="AQ7" s="2923"/>
      <c r="AR7" s="2923"/>
      <c r="AS7" s="2923"/>
      <c r="AT7" s="2923"/>
      <c r="AU7" s="2923"/>
      <c r="AV7" s="2923"/>
      <c r="AW7" s="2923"/>
      <c r="AX7" s="2923"/>
      <c r="AY7" s="2923"/>
      <c r="AZ7" s="2923"/>
      <c r="BA7" s="2923"/>
      <c r="BB7" s="2924"/>
      <c r="BC7" s="2011"/>
      <c r="BE7" s="1126"/>
      <c r="BF7" s="1126" t="str">
        <f>IF(T7="","",T7)</f>
        <v/>
      </c>
      <c r="BG7" s="1126"/>
      <c r="BH7" s="1126"/>
      <c r="BI7" s="1137">
        <v>0</v>
      </c>
    </row>
    <row customHeight="1" ht="11.25" hidden="1">
      <c r="A8" s="1989"/>
      <c r="B8" s="1989"/>
      <c r="C8" s="1989"/>
      <c r="D8" s="1989"/>
      <c r="E8" s="2885"/>
      <c r="F8" s="2885"/>
      <c r="G8" s="2885"/>
      <c r="H8" s="2885"/>
      <c r="I8" s="2912"/>
      <c r="J8" s="2912"/>
      <c r="K8" s="2882">
        <f>S4&amp;".1"</f>
      </c>
      <c r="L8" s="1990"/>
      <c r="P8" s="2883"/>
      <c r="Q8" s="2883"/>
      <c r="R8" s="2973">
        <v>1</v>
      </c>
      <c r="S8" s="2967">
        <f>$K8</f>
      </c>
      <c r="T8" s="2986"/>
      <c r="U8" s="926"/>
      <c r="V8" s="1377"/>
      <c r="W8" s="1883"/>
      <c r="X8" s="1377"/>
      <c r="Y8" s="1883"/>
      <c r="Z8" s="2360"/>
      <c r="AA8" s="2095" t="s">
        <v>66</v>
      </c>
      <c r="AB8" s="2360"/>
      <c r="AC8" s="2095" t="s">
        <v>66</v>
      </c>
      <c r="AD8" s="2811" t="s">
        <v>66</v>
      </c>
      <c r="AE8" s="2952"/>
      <c r="AF8" s="2831">
        <v>1</v>
      </c>
      <c r="AG8" s="2989"/>
      <c r="AH8" s="2733" t="s">
        <v>66</v>
      </c>
      <c r="AI8" s="2952"/>
      <c r="AJ8" s="2831">
        <v>1</v>
      </c>
      <c r="AK8" s="2953" t="s">
        <v>22</v>
      </c>
      <c r="AL8" s="2733" t="s">
        <v>66</v>
      </c>
      <c r="AM8" s="2818"/>
      <c r="AN8" s="2831">
        <v>1</v>
      </c>
      <c r="AO8" s="2983"/>
      <c r="AP8" s="2984" t="s">
        <v>66</v>
      </c>
      <c r="AQ8" s="937"/>
      <c r="AR8" s="2112">
        <v>1</v>
      </c>
      <c r="AS8" s="2118" t="s">
        <v>22</v>
      </c>
      <c r="AT8" s="1377"/>
      <c r="AU8" s="1883"/>
      <c r="AV8" s="1377"/>
      <c r="AW8" s="1883"/>
      <c r="AX8" s="2360"/>
      <c r="AY8" s="2095" t="s">
        <v>66</v>
      </c>
      <c r="AZ8" s="2360"/>
      <c r="BA8" s="2095" t="s">
        <v>66</v>
      </c>
      <c r="BB8" s="1974"/>
      <c r="BC8" s="2879" t="s">
        <v>519</v>
      </c>
      <c r="BE8" s="1126"/>
      <c r="BF8" s="1126" t="str">
        <f>IF(T8="","",T8)</f>
        <v/>
      </c>
      <c r="BG8" s="1126"/>
      <c r="BH8" s="1126"/>
      <c r="BI8" s="1781">
        <v>0</v>
      </c>
    </row>
    <row customHeight="1" ht="11.25" hidden="1">
      <c r="A9" s="1989"/>
      <c r="B9" s="1989"/>
      <c r="C9" s="1989"/>
      <c r="D9" s="1989"/>
      <c r="E9" s="2885"/>
      <c r="F9" s="2885"/>
      <c r="G9" s="2885"/>
      <c r="H9" s="2885"/>
      <c r="I9" s="2912"/>
      <c r="J9" s="2912"/>
      <c r="K9" s="2882"/>
      <c r="L9" s="1990"/>
      <c r="P9" s="2883"/>
      <c r="Q9" s="2883"/>
      <c r="R9" s="2973"/>
      <c r="S9" s="2968"/>
      <c r="T9" s="2987"/>
      <c r="U9" s="926"/>
      <c r="V9" s="2019"/>
      <c r="W9" s="2122"/>
      <c r="X9" s="2019"/>
      <c r="Y9" s="2122"/>
      <c r="Z9" s="2019"/>
      <c r="AA9" s="2019"/>
      <c r="AB9" s="2019"/>
      <c r="AC9" s="2019"/>
      <c r="AD9" s="2812"/>
      <c r="AE9" s="2952"/>
      <c r="AF9" s="2831"/>
      <c r="AG9" s="2989"/>
      <c r="AH9" s="2733"/>
      <c r="AI9" s="2952"/>
      <c r="AJ9" s="2831"/>
      <c r="AK9" s="2953"/>
      <c r="AL9" s="2733"/>
      <c r="AM9" s="2826"/>
      <c r="AN9" s="2831"/>
      <c r="AO9" s="2983"/>
      <c r="AP9" s="2985"/>
      <c r="AQ9" s="942"/>
      <c r="AR9" s="1042"/>
      <c r="AS9" s="1042" t="s">
        <v>520</v>
      </c>
      <c r="AT9" s="2019"/>
      <c r="AU9" s="2122"/>
      <c r="AV9" s="2019"/>
      <c r="AW9" s="2122"/>
      <c r="AX9" s="2019"/>
      <c r="AY9" s="2019"/>
      <c r="AZ9" s="2019"/>
      <c r="BA9" s="2019"/>
      <c r="BB9" s="2023"/>
      <c r="BC9" s="2880"/>
      <c r="BE9" s="1126"/>
      <c r="BF9" s="1126"/>
      <c r="BG9" s="1126"/>
      <c r="BH9" s="1126"/>
      <c r="BI9" s="1781">
        <v>0</v>
      </c>
    </row>
    <row customHeight="1" ht="11.25" hidden="1">
      <c r="A10" s="1989"/>
      <c r="B10" s="1989"/>
      <c r="C10" s="1989"/>
      <c r="D10" s="1989"/>
      <c r="E10" s="2885"/>
      <c r="F10" s="2885"/>
      <c r="G10" s="2885"/>
      <c r="H10" s="2885"/>
      <c r="I10" s="2912"/>
      <c r="J10" s="2912"/>
      <c r="K10" s="2882"/>
      <c r="L10" s="1990"/>
      <c r="P10" s="2883"/>
      <c r="Q10" s="2883"/>
      <c r="R10" s="2973"/>
      <c r="S10" s="2968"/>
      <c r="T10" s="2987"/>
      <c r="U10" s="926"/>
      <c r="V10" s="2019"/>
      <c r="W10" s="2122"/>
      <c r="X10" s="2019"/>
      <c r="Y10" s="2122"/>
      <c r="Z10" s="2019"/>
      <c r="AA10" s="2019"/>
      <c r="AB10" s="2019"/>
      <c r="AC10" s="2019"/>
      <c r="AD10" s="2812"/>
      <c r="AE10" s="2952"/>
      <c r="AF10" s="2831"/>
      <c r="AG10" s="2989"/>
      <c r="AH10" s="2733"/>
      <c r="AI10" s="2952"/>
      <c r="AJ10" s="2831"/>
      <c r="AK10" s="2953"/>
      <c r="AL10" s="2733"/>
      <c r="AM10" s="942"/>
      <c r="AN10" s="2126"/>
      <c r="AO10" s="2126" t="s">
        <v>521</v>
      </c>
      <c r="AP10" s="1042"/>
      <c r="AQ10" s="1042"/>
      <c r="AR10" s="1042"/>
      <c r="AS10" s="2019"/>
      <c r="AT10" s="2019"/>
      <c r="AU10" s="2122"/>
      <c r="AV10" s="2019"/>
      <c r="AW10" s="2122"/>
      <c r="AX10" s="2019"/>
      <c r="AY10" s="2019"/>
      <c r="AZ10" s="2019"/>
      <c r="BA10" s="2019"/>
      <c r="BB10" s="2023"/>
      <c r="BC10" s="2880"/>
      <c r="BE10" s="1126"/>
      <c r="BF10" s="1126"/>
      <c r="BG10" s="1126"/>
      <c r="BH10" s="1126"/>
      <c r="BI10" s="1781">
        <v>0</v>
      </c>
    </row>
    <row customHeight="1" ht="11.25" hidden="1">
      <c r="A11" s="1989"/>
      <c r="B11" s="1989"/>
      <c r="C11" s="1989"/>
      <c r="D11" s="1989"/>
      <c r="E11" s="2885"/>
      <c r="F11" s="2885"/>
      <c r="G11" s="2885"/>
      <c r="H11" s="2885"/>
      <c r="I11" s="2912"/>
      <c r="J11" s="2912"/>
      <c r="K11" s="2882"/>
      <c r="L11" s="1990"/>
      <c r="P11" s="2883"/>
      <c r="Q11" s="2883"/>
      <c r="R11" s="2973"/>
      <c r="S11" s="2968"/>
      <c r="T11" s="2987"/>
      <c r="U11" s="926"/>
      <c r="V11" s="2019"/>
      <c r="W11" s="2122"/>
      <c r="X11" s="2019"/>
      <c r="Y11" s="2122"/>
      <c r="Z11" s="2019"/>
      <c r="AA11" s="2019"/>
      <c r="AB11" s="2019"/>
      <c r="AC11" s="2019"/>
      <c r="AD11" s="2812"/>
      <c r="AE11" s="2952"/>
      <c r="AF11" s="2831"/>
      <c r="AG11" s="2989"/>
      <c r="AH11" s="2733"/>
      <c r="AI11" s="920"/>
      <c r="AJ11" s="1041"/>
      <c r="AK11" s="939" t="s">
        <v>522</v>
      </c>
      <c r="AL11" s="2019"/>
      <c r="AM11" s="2019"/>
      <c r="AN11" s="2019"/>
      <c r="AO11" s="2019"/>
      <c r="AP11" s="2019"/>
      <c r="AQ11" s="2019"/>
      <c r="AR11" s="2019"/>
      <c r="AS11" s="2019"/>
      <c r="AT11" s="2019"/>
      <c r="AU11" s="2122"/>
      <c r="AV11" s="2019"/>
      <c r="AW11" s="2122"/>
      <c r="AX11" s="2019"/>
      <c r="AY11" s="2019"/>
      <c r="AZ11" s="2019"/>
      <c r="BA11" s="2019"/>
      <c r="BB11" s="2023"/>
      <c r="BC11" s="2880"/>
      <c r="BE11" s="1126"/>
      <c r="BF11" s="1126"/>
      <c r="BG11" s="1126"/>
      <c r="BH11" s="1126"/>
      <c r="BI11" s="1781">
        <v>0</v>
      </c>
    </row>
    <row customHeight="1" ht="11.25" hidden="1">
      <c r="A12" s="1989"/>
      <c r="B12" s="1989"/>
      <c r="C12" s="1989"/>
      <c r="D12" s="1989"/>
      <c r="E12" s="2885"/>
      <c r="F12" s="2885"/>
      <c r="G12" s="2885"/>
      <c r="H12" s="2885"/>
      <c r="I12" s="2912"/>
      <c r="J12" s="2912"/>
      <c r="K12" s="2882"/>
      <c r="L12" s="1990"/>
      <c r="P12" s="2883"/>
      <c r="Q12" s="2883"/>
      <c r="R12" s="2973"/>
      <c r="S12" s="2969"/>
      <c r="T12" s="2988"/>
      <c r="U12" s="926"/>
      <c r="V12" s="2019"/>
      <c r="W12" s="2020" t="str">
        <f>Z8&amp;"-"&amp;AB8</f>
        <v>-</v>
      </c>
      <c r="X12" s="2019"/>
      <c r="Y12" s="2020" t="str">
        <f>AB8&amp;"-"&amp;AD8</f>
        <v>-да</v>
      </c>
      <c r="Z12" s="2019"/>
      <c r="AA12" s="2019"/>
      <c r="AB12" s="2019"/>
      <c r="AC12" s="2019"/>
      <c r="AD12" s="2738"/>
      <c r="AE12" s="938"/>
      <c r="AF12" s="940"/>
      <c r="AG12" s="1042" t="s">
        <v>523</v>
      </c>
      <c r="AH12" s="2019"/>
      <c r="AI12" s="2019"/>
      <c r="AJ12" s="2019"/>
      <c r="AK12" s="2019"/>
      <c r="AL12" s="2019"/>
      <c r="AM12" s="2019"/>
      <c r="AN12" s="2019"/>
      <c r="AO12" s="2019"/>
      <c r="AP12" s="2019"/>
      <c r="AQ12" s="2019"/>
      <c r="AR12" s="2019"/>
      <c r="AS12" s="2019"/>
      <c r="AT12" s="2019"/>
      <c r="AU12" s="2020" t="str">
        <f>AX8&amp;"-"&amp;AZ8</f>
        <v>-</v>
      </c>
      <c r="AV12" s="2019"/>
      <c r="AW12" s="2020" t="str">
        <f>AZ8&amp;"-"&amp;BB8</f>
        <v>-</v>
      </c>
      <c r="AX12" s="2019"/>
      <c r="AY12" s="2019"/>
      <c r="AZ12" s="2019"/>
      <c r="BA12" s="2019"/>
      <c r="BB12" s="2022" t="str">
        <f>BE8&amp;"-"&amp;BG8</f>
        <v>-</v>
      </c>
      <c r="BC12" s="2880"/>
      <c r="BE12" s="1126"/>
      <c r="BF12" s="1126" t="str">
        <f>IF(T12="","",T12)</f>
        <v/>
      </c>
      <c r="BG12" s="1126"/>
      <c r="BH12" s="1126"/>
      <c r="BI12" s="1781">
        <v>0</v>
      </c>
    </row>
    <row customHeight="1" ht="11.25" hidden="1">
      <c r="A13" s="1989"/>
      <c r="B13" s="1989"/>
      <c r="C13" s="1989"/>
      <c r="D13" s="1989"/>
      <c r="E13" s="2885"/>
      <c r="F13" s="2885"/>
      <c r="G13" s="2885"/>
      <c r="H13" s="2885"/>
      <c r="I13" s="2912"/>
      <c r="J13" s="2882"/>
      <c r="K13" s="1989"/>
      <c r="L13" s="1990"/>
      <c r="P13" s="2883"/>
      <c r="Q13" s="2883"/>
      <c r="R13" s="982"/>
      <c r="S13" s="1904"/>
      <c r="T13" s="913" t="s">
        <v>486</v>
      </c>
      <c r="U13" s="993"/>
      <c r="V13" s="993"/>
      <c r="W13" s="993"/>
      <c r="X13" s="993"/>
      <c r="Y13" s="993"/>
      <c r="Z13" s="993"/>
      <c r="AA13" s="993"/>
      <c r="AB13" s="993"/>
      <c r="AC13" s="993"/>
      <c r="AD13" s="2131"/>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50"/>
      <c r="BC13" s="2881"/>
      <c r="BE13" s="1126"/>
      <c r="BF13" s="1126" t="str">
        <f>IF(T13="","",T13)</f>
        <v>Добавить строку</v>
      </c>
      <c r="BG13" s="1126"/>
      <c r="BH13" s="1126"/>
      <c r="BI13" s="1781">
        <v>0</v>
      </c>
    </row>
    <row s="34658" customFormat="1" customHeight="1" ht="14.25" hidden="1">
      <c r="A14" s="1969"/>
      <c r="B14" s="1969"/>
      <c r="C14" s="1969"/>
      <c r="D14" s="1969"/>
      <c r="E14" s="2885"/>
      <c r="F14" s="2885"/>
      <c r="G14" s="2885"/>
      <c r="H14" s="2885"/>
      <c r="I14" s="2882"/>
      <c r="J14" s="1969"/>
      <c r="K14" s="1969"/>
      <c r="L14" s="1972"/>
      <c r="M14" s="1136"/>
      <c r="N14" s="1136"/>
      <c r="O14" s="1136"/>
      <c r="P14" s="2883"/>
      <c r="Q14" s="2107"/>
      <c r="R14" s="982"/>
      <c r="S14" s="2012"/>
      <c r="T14" s="2013"/>
      <c r="U14" s="2014"/>
      <c r="V14" s="2014"/>
      <c r="W14" s="2014"/>
      <c r="X14" s="2014"/>
      <c r="Y14" s="2014"/>
      <c r="Z14" s="2014"/>
      <c r="AA14" s="2014"/>
      <c r="AB14" s="2014"/>
      <c r="AC14" s="2014"/>
      <c r="AD14" s="2014"/>
      <c r="AE14" s="2014"/>
      <c r="AF14" s="2014"/>
      <c r="AG14" s="2014"/>
      <c r="AH14" s="2014"/>
      <c r="AI14" s="2014"/>
      <c r="AJ14" s="2014"/>
      <c r="AK14" s="2014"/>
      <c r="AL14" s="2014"/>
      <c r="AM14" s="2014"/>
      <c r="AN14" s="2014"/>
      <c r="AO14" s="2014"/>
      <c r="AP14" s="2014"/>
      <c r="AQ14" s="2014"/>
      <c r="AR14" s="2014"/>
      <c r="AS14" s="2014"/>
      <c r="AT14" s="2014"/>
      <c r="AU14" s="2014"/>
      <c r="AV14" s="2014"/>
      <c r="AW14" s="2014"/>
      <c r="AX14" s="2014"/>
      <c r="AY14" s="2014"/>
      <c r="AZ14" s="2014"/>
      <c r="BA14" s="2014"/>
      <c r="BB14" s="2014"/>
      <c r="BC14" s="2015"/>
      <c r="BE14" s="1126"/>
      <c r="BF14" s="1126" t="str">
        <f>IF(T14="","",T14)</f>
        <v/>
      </c>
      <c r="BG14" s="1126"/>
      <c r="BH14" s="1126"/>
      <c r="BI14" s="1137">
        <v>0</v>
      </c>
    </row>
    <row s="34658" customFormat="1" customHeight="1" ht="14.25" hidden="1">
      <c r="A15" s="1969"/>
      <c r="B15" s="1969"/>
      <c r="C15" s="1969"/>
      <c r="D15" s="1969"/>
      <c r="E15" s="2885"/>
      <c r="F15" s="2885"/>
      <c r="G15" s="2885"/>
      <c r="H15" s="2884"/>
      <c r="I15" s="1969"/>
      <c r="J15" s="1969"/>
      <c r="K15" s="1969"/>
      <c r="L15" s="1972"/>
      <c r="M15" s="1941"/>
      <c r="N15" s="1941"/>
      <c r="O15" s="1144"/>
      <c r="P15" s="1006"/>
      <c r="Q15" s="1970"/>
      <c r="R15" s="2027"/>
      <c r="S15" s="2012"/>
      <c r="T15" s="2013"/>
      <c r="U15" s="2014"/>
      <c r="V15" s="2014"/>
      <c r="W15" s="2014"/>
      <c r="X15" s="2014"/>
      <c r="Y15" s="2014"/>
      <c r="Z15" s="2014"/>
      <c r="AA15" s="2014"/>
      <c r="AB15" s="2014"/>
      <c r="AC15" s="2014"/>
      <c r="AD15" s="2014"/>
      <c r="AE15" s="2014"/>
      <c r="AF15" s="2014"/>
      <c r="AG15" s="2014"/>
      <c r="AH15" s="2014"/>
      <c r="AI15" s="2014"/>
      <c r="AJ15" s="2014"/>
      <c r="AK15" s="2014"/>
      <c r="AL15" s="2014"/>
      <c r="AM15" s="2014"/>
      <c r="AN15" s="2014"/>
      <c r="AO15" s="2014"/>
      <c r="AP15" s="2014"/>
      <c r="AQ15" s="2014"/>
      <c r="AR15" s="2014"/>
      <c r="AS15" s="2014"/>
      <c r="AT15" s="2014"/>
      <c r="AU15" s="2014"/>
      <c r="AV15" s="2014"/>
      <c r="AW15" s="2014"/>
      <c r="AX15" s="2014"/>
      <c r="AY15" s="2014"/>
      <c r="AZ15" s="2014"/>
      <c r="BA15" s="2014"/>
      <c r="BB15" s="2014"/>
      <c r="BC15" s="2015"/>
      <c r="BE15" s="1126"/>
      <c r="BF15" s="1126" t="str">
        <f>IF(T15="","",T15)</f>
        <v/>
      </c>
      <c r="BG15" s="1126"/>
      <c r="BH15" s="1126"/>
      <c r="BI15" s="1137">
        <v>0</v>
      </c>
    </row>
    <row s="34658" customFormat="1" customHeight="1" ht="14.25" hidden="1">
      <c r="A16" s="1969"/>
      <c r="B16" s="1969"/>
      <c r="C16" s="1969"/>
      <c r="D16" s="1940"/>
      <c r="E16" s="2885"/>
      <c r="F16" s="2885"/>
      <c r="G16" s="2884"/>
      <c r="H16" s="1940"/>
      <c r="I16" s="1940"/>
      <c r="J16" s="1940"/>
      <c r="K16" s="1940"/>
      <c r="L16" s="2120"/>
      <c r="M16" s="1941"/>
      <c r="N16" s="1941"/>
      <c r="P16" s="1942"/>
      <c r="Q16" s="1943"/>
      <c r="R16" s="1942"/>
      <c r="S16" s="1948"/>
      <c r="T16" s="1951"/>
      <c r="U16" s="1950"/>
      <c r="V16" s="1950"/>
      <c r="W16" s="1950"/>
      <c r="X16" s="1950"/>
      <c r="Y16" s="1950"/>
      <c r="Z16" s="1950"/>
      <c r="AA16" s="1950"/>
      <c r="AB16" s="1950"/>
      <c r="AC16" s="1950"/>
      <c r="AD16" s="1950"/>
      <c r="AE16" s="1950"/>
      <c r="AF16" s="1950"/>
      <c r="AG16" s="1950"/>
      <c r="AH16" s="1950"/>
      <c r="AI16" s="1950"/>
      <c r="AJ16" s="1950"/>
      <c r="AK16" s="1950"/>
      <c r="AL16" s="1950"/>
      <c r="AM16" s="1950"/>
      <c r="AN16" s="1950"/>
      <c r="AO16" s="1950"/>
      <c r="AP16" s="1950"/>
      <c r="AQ16" s="1950"/>
      <c r="AR16" s="1950"/>
      <c r="AS16" s="1950"/>
      <c r="AT16" s="1950"/>
      <c r="AU16" s="1950"/>
      <c r="AV16" s="1950"/>
      <c r="AW16" s="1950"/>
      <c r="AX16" s="1950"/>
      <c r="AY16" s="1950"/>
      <c r="AZ16" s="1950"/>
      <c r="BA16" s="1950"/>
      <c r="BB16" s="1950"/>
      <c r="BC16" s="1950"/>
      <c r="BE16" s="1415"/>
      <c r="BF16" s="1415" t="str">
        <f>IF(T16="","",T16)</f>
        <v/>
      </c>
      <c r="BG16" s="1415"/>
      <c r="BH16" s="1415"/>
      <c r="BI16" s="1144">
        <v>0</v>
      </c>
    </row>
    <row s="34658" customFormat="1" customHeight="1" ht="14.25" hidden="1">
      <c r="A17" s="1969"/>
      <c r="B17" s="1969"/>
      <c r="C17" s="1940"/>
      <c r="D17" s="1940"/>
      <c r="E17" s="2885"/>
      <c r="F17" s="2884"/>
      <c r="G17" s="1940"/>
      <c r="H17" s="1940"/>
      <c r="I17" s="1940"/>
      <c r="J17" s="1940"/>
      <c r="K17" s="1940"/>
      <c r="L17" s="2120"/>
      <c r="M17" s="1947"/>
      <c r="N17" s="1947"/>
      <c r="P17" s="1942"/>
      <c r="Q17" s="1943"/>
      <c r="R17" s="1942"/>
      <c r="S17" s="1948"/>
      <c r="T17" s="1951" t="s">
        <v>433</v>
      </c>
      <c r="U17" s="1950"/>
      <c r="V17" s="1950"/>
      <c r="W17" s="1950"/>
      <c r="X17" s="1950"/>
      <c r="Y17" s="1950"/>
      <c r="Z17" s="1950"/>
      <c r="AA17" s="1950"/>
      <c r="AB17" s="1950"/>
      <c r="AC17" s="1950"/>
      <c r="AD17" s="1950"/>
      <c r="AE17" s="1950"/>
      <c r="AF17" s="1950"/>
      <c r="AG17" s="1950"/>
      <c r="AH17" s="1950"/>
      <c r="AI17" s="1950"/>
      <c r="AJ17" s="1950"/>
      <c r="AK17" s="1950"/>
      <c r="AL17" s="1950"/>
      <c r="AM17" s="1950"/>
      <c r="AN17" s="1950"/>
      <c r="AO17" s="1950"/>
      <c r="AP17" s="1950"/>
      <c r="AQ17" s="1950"/>
      <c r="AR17" s="1950"/>
      <c r="AS17" s="1950"/>
      <c r="AT17" s="1950"/>
      <c r="AU17" s="1950"/>
      <c r="AV17" s="1950"/>
      <c r="AW17" s="1950"/>
      <c r="AX17" s="1950"/>
      <c r="AY17" s="1950"/>
      <c r="AZ17" s="1950"/>
      <c r="BA17" s="1950"/>
      <c r="BB17" s="1950"/>
      <c r="BC17" s="1950"/>
      <c r="BE17" s="1415"/>
      <c r="BF17" s="1415" t="str">
        <f>IF(T17="","",T17)</f>
        <v>Добавить централизованную систему для дифференциации</v>
      </c>
      <c r="BG17" s="1415"/>
      <c r="BH17" s="1415"/>
      <c r="BI17" s="1144">
        <v>0</v>
      </c>
    </row>
    <row s="34658" customFormat="1" customHeight="1" ht="14.25" hidden="1">
      <c r="A18" s="1969"/>
      <c r="B18" s="1969"/>
      <c r="C18" s="1969"/>
      <c r="D18" s="1969"/>
      <c r="E18" s="2884"/>
      <c r="F18" s="1969"/>
      <c r="G18" s="1969"/>
      <c r="H18" s="1969"/>
      <c r="I18" s="1969"/>
      <c r="J18" s="1969"/>
      <c r="K18" s="1969"/>
      <c r="L18" s="1972"/>
      <c r="M18" s="1947"/>
      <c r="N18" s="1947"/>
      <c r="O18" s="1144"/>
      <c r="P18" s="1006"/>
      <c r="Q18" s="1970"/>
      <c r="R18" s="1006"/>
      <c r="S18" s="1948"/>
      <c r="T18" s="1951" t="s">
        <v>434</v>
      </c>
      <c r="U18" s="1950"/>
      <c r="V18" s="1950"/>
      <c r="W18" s="1950"/>
      <c r="X18" s="1950"/>
      <c r="Y18" s="1950"/>
      <c r="Z18" s="1950"/>
      <c r="AA18" s="1950"/>
      <c r="AB18" s="1950"/>
      <c r="AC18" s="1950"/>
      <c r="AD18" s="1950"/>
      <c r="AE18" s="1950"/>
      <c r="AF18" s="1950"/>
      <c r="AG18" s="1950"/>
      <c r="AH18" s="1950"/>
      <c r="AI18" s="1950"/>
      <c r="AJ18" s="1950"/>
      <c r="AK18" s="1950"/>
      <c r="AL18" s="1950"/>
      <c r="AM18" s="1950"/>
      <c r="AN18" s="1950"/>
      <c r="AO18" s="1950"/>
      <c r="AP18" s="1950"/>
      <c r="AQ18" s="1950"/>
      <c r="AR18" s="1950"/>
      <c r="AS18" s="1950"/>
      <c r="AT18" s="1950"/>
      <c r="AU18" s="1950"/>
      <c r="AV18" s="1950"/>
      <c r="AW18" s="1950"/>
      <c r="AX18" s="1950"/>
      <c r="AY18" s="1950"/>
      <c r="AZ18" s="1950"/>
      <c r="BA18" s="1950"/>
      <c r="BB18" s="1950"/>
      <c r="BC18" s="1950"/>
      <c r="BE18" s="1126"/>
      <c r="BF18" s="1126" t="str">
        <f>IF(T18="","",T18)</f>
        <v>Добавить территорию для дифференциации</v>
      </c>
      <c r="BG18" s="1126"/>
      <c r="BH18" s="1126"/>
      <c r="BI18" s="1137">
        <v>0</v>
      </c>
    </row>
    <row customHeight="1" ht="14.25" hidden="1">
      <c r="AC19" s="953"/>
      <c r="BA19" s="953"/>
      <c r="BI19" s="1781">
        <v>0</v>
      </c>
    </row>
    <row customHeight="1" ht="14.25" hidden="1">
      <c r="AD20" s="1950" t="s">
        <v>19</v>
      </c>
      <c r="AE20" s="2127"/>
      <c r="AF20" s="1174">
        <v>1</v>
      </c>
      <c r="AG20" s="2128"/>
      <c r="AH20" s="1950" t="s">
        <v>19</v>
      </c>
      <c r="AI20" s="2127"/>
      <c r="AJ20" s="1174">
        <v>1</v>
      </c>
      <c r="AK20" s="2128"/>
      <c r="AL20" s="1950" t="s">
        <v>19</v>
      </c>
      <c r="AM20" s="2129"/>
      <c r="AN20" s="1174">
        <v>1</v>
      </c>
      <c r="AO20" s="2130"/>
      <c r="AP20" s="1950" t="s">
        <v>19</v>
      </c>
      <c r="AQ20" s="2129"/>
      <c r="AR20" s="1174">
        <v>1</v>
      </c>
      <c r="AS20" s="2130"/>
      <c r="AT20" s="951"/>
      <c r="AU20" s="1010"/>
      <c r="AV20" s="951"/>
      <c r="AW20" s="1010"/>
      <c r="AX20" s="2362"/>
      <c r="AY20" s="2111" t="s">
        <v>66</v>
      </c>
      <c r="AZ20" s="2362"/>
      <c r="BA20" s="2111" t="s">
        <v>66</v>
      </c>
      <c r="BI20" s="1781">
        <v>0</v>
      </c>
    </row>
    <row customHeight="1" ht="14.25" hidden="1">
      <c r="BD21" s="1122"/>
      <c r="BE21" s="1122"/>
      <c r="BF21" s="1122"/>
      <c r="BG21" s="1122"/>
      <c r="BH21" s="1122"/>
      <c r="BI21" s="1781">
        <v>0</v>
      </c>
    </row>
    <row customHeight="1" ht="14.25" hidden="1">
      <c r="O22" s="1993" t="s">
        <v>435</v>
      </c>
      <c r="Z22" s="1971"/>
      <c r="AB22" s="1971"/>
      <c r="AC22" s="953"/>
      <c r="AX22" s="1971"/>
      <c r="AZ22" s="1971"/>
      <c r="BA22" s="953"/>
      <c r="BD22" s="1122"/>
      <c r="BE22" s="1122"/>
      <c r="BF22" s="1122"/>
      <c r="BG22" s="1122"/>
      <c r="BH22" s="1122"/>
      <c r="BI22" s="1781">
        <v>0</v>
      </c>
    </row>
    <row customHeight="1" ht="14.25" hidden="1">
      <c r="AC23" s="953"/>
      <c r="BA23" s="953"/>
      <c r="BD23" s="1122"/>
      <c r="BE23" s="1122"/>
      <c r="BF23" s="1122"/>
      <c r="BG23" s="1122"/>
      <c r="BH23" s="1122"/>
      <c r="BI23" s="1781">
        <v>0</v>
      </c>
    </row>
    <row s="35596" customFormat="1" customHeight="1" ht="14.25" hidden="1">
      <c r="M24" s="2134"/>
      <c r="N24" s="2134"/>
      <c r="O24" s="2135" t="s">
        <v>436</v>
      </c>
      <c r="P24" s="2134"/>
      <c r="Q24" s="2136"/>
      <c r="R24" s="2136"/>
      <c r="AA24" s="2133" t="s">
        <v>438</v>
      </c>
      <c r="AC24" s="2133" t="s">
        <v>439</v>
      </c>
      <c r="AD24" s="2133" t="s">
        <v>487</v>
      </c>
      <c r="AH24" s="2133" t="s">
        <v>487</v>
      </c>
      <c r="AK24" s="2133" t="s">
        <v>524</v>
      </c>
      <c r="AL24" s="2133" t="s">
        <v>487</v>
      </c>
      <c r="AP24" s="2133" t="s">
        <v>487</v>
      </c>
      <c r="AY24" s="2133" t="s">
        <v>438</v>
      </c>
      <c r="BA24" s="2133" t="s">
        <v>439</v>
      </c>
      <c r="BD24" s="2137"/>
      <c r="BE24" s="2137"/>
      <c r="BF24" s="2137"/>
      <c r="BG24" s="2137"/>
      <c r="BH24" s="2137"/>
      <c r="BI24" s="2133">
        <v>0</v>
      </c>
    </row>
    <row customHeight="1" ht="14.25" hidden="1">
      <c r="O25" s="1990"/>
      <c r="BD25" s="1122"/>
      <c r="BE25" s="1122"/>
      <c r="BF25" s="1122"/>
      <c r="BG25" s="1122"/>
      <c r="BH25" s="1122"/>
      <c r="BI25" s="1781">
        <v>0</v>
      </c>
    </row>
    <row customHeight="1" ht="14.25" hidden="1">
      <c r="O26" s="1990"/>
      <c r="BD26" s="1122"/>
      <c r="BE26" s="1122"/>
      <c r="BF26" s="1122"/>
      <c r="BG26" s="1122"/>
      <c r="BH26" s="1122"/>
      <c r="BI26" s="1781">
        <v>0</v>
      </c>
    </row>
    <row customHeight="1" ht="14.699999999999998">
      <c r="Q27" s="917"/>
      <c r="R27" s="1002"/>
      <c r="S27" s="1901"/>
      <c r="T27" s="989"/>
      <c r="U27" s="989"/>
      <c r="V27" s="1135"/>
      <c r="W27" s="1135"/>
      <c r="X27" s="1135"/>
      <c r="Y27" s="1135"/>
      <c r="Z27" s="1135"/>
      <c r="AA27" s="1135"/>
      <c r="AB27" s="1135"/>
      <c r="AC27" s="1135"/>
      <c r="AD27" s="1135"/>
      <c r="AE27" s="1135"/>
      <c r="AF27" s="1135"/>
      <c r="AG27" s="1135"/>
      <c r="AH27" s="1135"/>
      <c r="AI27" s="1135"/>
      <c r="AJ27" s="1135"/>
      <c r="AK27" s="1135"/>
      <c r="AL27" s="1135"/>
      <c r="AM27" s="1135"/>
      <c r="AN27" s="1135"/>
      <c r="AO27" s="1135"/>
      <c r="AP27" s="1135"/>
      <c r="AQ27" s="1135"/>
      <c r="AR27" s="1135"/>
      <c r="AS27" s="1135"/>
      <c r="AT27" s="1135"/>
      <c r="AU27" s="1135"/>
      <c r="AV27" s="1135"/>
      <c r="AW27" s="1135"/>
      <c r="AX27" s="1135"/>
      <c r="AY27" s="1135"/>
      <c r="AZ27" s="1135"/>
      <c r="BA27" s="1135"/>
      <c r="BI27" s="1781">
        <v>14</v>
      </c>
    </row>
    <row customHeight="1" ht="14.699999999999998">
      <c r="Q28" s="917"/>
      <c r="R28" s="1002"/>
      <c r="S28" s="28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2874"/>
      <c r="AT28" s="2874"/>
      <c r="AU28" s="2874"/>
      <c r="AV28" s="2874"/>
      <c r="AW28" s="2874"/>
      <c r="AX28" s="2874"/>
      <c r="AY28" s="2874"/>
      <c r="AZ28" s="2874"/>
      <c r="BA28" s="1869"/>
      <c r="BI28" s="1781">
        <v>14</v>
      </c>
    </row>
    <row customHeight="1" ht="14.699999999999998">
      <c r="Q29" s="917"/>
      <c r="R29" s="1002"/>
      <c r="S29" s="2875" t="str">
        <f>IF(org=0,"Не определено",org)</f>
        <v>АО "ДГК"</v>
      </c>
      <c r="T29" s="2875"/>
      <c r="U29" s="2875"/>
      <c r="V29" s="2875"/>
      <c r="W29" s="2875"/>
      <c r="X29" s="2875"/>
      <c r="Y29" s="2875"/>
      <c r="Z29" s="2875"/>
      <c r="AA29" s="2875"/>
      <c r="AB29" s="2875"/>
      <c r="AC29" s="2875"/>
      <c r="AD29" s="2875"/>
      <c r="AE29" s="2875"/>
      <c r="AF29" s="2875"/>
      <c r="AG29" s="2875"/>
      <c r="AH29" s="2875"/>
      <c r="AI29" s="2875"/>
      <c r="AJ29" s="2875"/>
      <c r="AK29" s="2875"/>
      <c r="AL29" s="2875"/>
      <c r="AM29" s="2875"/>
      <c r="AN29" s="2875"/>
      <c r="AO29" s="2875"/>
      <c r="AP29" s="2875"/>
      <c r="AQ29" s="2875"/>
      <c r="AR29" s="2875"/>
      <c r="AS29" s="2875"/>
      <c r="AT29" s="2875"/>
      <c r="AU29" s="2875"/>
      <c r="AV29" s="2875"/>
      <c r="AW29" s="2875"/>
      <c r="AX29" s="2875"/>
      <c r="AY29" s="2875"/>
      <c r="AZ29" s="2875"/>
      <c r="BA29" s="1869"/>
      <c r="BI29" s="1781">
        <v>14</v>
      </c>
    </row>
    <row customHeight="1" ht="14.25" hidden="1">
      <c r="Q30" s="917"/>
      <c r="R30" s="1002"/>
      <c r="S30" s="1901"/>
      <c r="T30" s="989"/>
      <c r="U30" s="989"/>
      <c r="V30" s="948"/>
      <c r="W30" s="948"/>
      <c r="X30" s="948"/>
      <c r="Y30" s="948"/>
      <c r="Z30" s="948"/>
      <c r="AA30" s="948"/>
      <c r="AB30" s="948"/>
      <c r="AC30" s="948"/>
      <c r="AD30" s="948"/>
      <c r="AE30" s="948"/>
      <c r="AF30" s="948"/>
      <c r="AG30" s="948"/>
      <c r="AH30" s="948"/>
      <c r="AI30" s="948"/>
      <c r="AJ30" s="948"/>
      <c r="AK30" s="948"/>
      <c r="AL30" s="948"/>
      <c r="AM30" s="948"/>
      <c r="AN30" s="948"/>
      <c r="AO30" s="948"/>
      <c r="AP30" s="948"/>
      <c r="AQ30" s="948"/>
      <c r="AR30" s="948"/>
      <c r="AS30" s="948"/>
      <c r="AT30" s="948"/>
      <c r="AU30" s="948"/>
      <c r="AV30" s="948"/>
      <c r="AW30" s="948"/>
      <c r="AX30" s="948"/>
      <c r="AY30" s="948"/>
      <c r="AZ30" s="948"/>
      <c r="BA30" s="948"/>
      <c r="BB30" s="1135"/>
      <c r="BI30" s="1781">
        <v>0</v>
      </c>
    </row>
    <row s="34794" customFormat="1" customHeight="1" ht="25.5" hidden="1">
      <c r="A31" s="1994"/>
      <c r="B31" s="1994"/>
      <c r="C31" s="1994"/>
      <c r="D31" s="1994"/>
      <c r="E31" s="1994"/>
      <c r="F31" s="1994"/>
      <c r="G31" s="1994"/>
      <c r="H31" s="1994"/>
      <c r="I31" s="1994"/>
      <c r="J31" s="1994"/>
      <c r="K31" s="1994"/>
      <c r="L31" s="1995"/>
      <c r="M31" s="1994"/>
      <c r="N31" s="1994"/>
      <c r="O31" s="1994"/>
      <c r="P31" s="1994"/>
      <c r="Q31" s="1994"/>
      <c r="S31" s="2876" t="s">
        <v>42</v>
      </c>
      <c r="T31" s="2876"/>
      <c r="U31" s="1998"/>
      <c r="V31" s="2877" t="str">
        <f>IF(TITLE_NAME_OR_PR_CHANGE="",IF(TITLE_NAME_OR_PR="","",TITLE_NAME_OR_PR),TITLE_NAME_OR_PR_CHANGE)</f>
        <v/>
      </c>
      <c r="W31" s="2877"/>
      <c r="X31" s="2877"/>
      <c r="Y31" s="2877"/>
      <c r="Z31" s="2877"/>
      <c r="AA31" s="2877"/>
      <c r="AB31" s="2877"/>
      <c r="AC31" s="952"/>
      <c r="AD31" s="2877" t="str">
        <f>IF(TITLE_NAME_OR_PR_CHANGE="",IF(TITLE_NAME_OR_PR="","",TITLE_NAME_OR_PR),TITLE_NAME_OR_PR_CHANGE)</f>
        <v/>
      </c>
      <c r="AE31" s="2877"/>
      <c r="AF31" s="2877"/>
      <c r="AG31" s="2877"/>
      <c r="AH31" s="2877"/>
      <c r="AI31" s="2877"/>
      <c r="AJ31" s="2877"/>
      <c r="AK31" s="2877"/>
      <c r="AL31" s="2877"/>
      <c r="AM31" s="2877"/>
      <c r="AN31" s="2877"/>
      <c r="AO31" s="2877"/>
      <c r="AP31" s="2877"/>
      <c r="AQ31" s="2877"/>
      <c r="AR31" s="2877"/>
      <c r="AS31" s="2877"/>
      <c r="AT31" s="2877"/>
      <c r="AU31" s="2877"/>
      <c r="AV31" s="2877"/>
      <c r="AW31" s="2877"/>
      <c r="AX31" s="2877"/>
      <c r="AY31" s="2877"/>
      <c r="AZ31" s="2877"/>
      <c r="BA31" s="952"/>
      <c r="BB31" s="952"/>
      <c r="BC31" s="906"/>
      <c r="BD31" s="994"/>
      <c r="BE31" s="994"/>
      <c r="BF31" s="994"/>
      <c r="BG31" s="994"/>
      <c r="BH31" s="994"/>
      <c r="BI31" s="1044">
        <v>0</v>
      </c>
    </row>
    <row s="34794" customFormat="1" customHeight="1" ht="18.75" hidden="1">
      <c r="A32" s="1994"/>
      <c r="B32" s="1994"/>
      <c r="C32" s="1994"/>
      <c r="D32" s="1994"/>
      <c r="E32" s="1994"/>
      <c r="F32" s="1994"/>
      <c r="G32" s="1994"/>
      <c r="H32" s="1994"/>
      <c r="I32" s="1994"/>
      <c r="J32" s="1994"/>
      <c r="K32" s="1994"/>
      <c r="L32" s="1995"/>
      <c r="M32" s="1994"/>
      <c r="N32" s="1994"/>
      <c r="O32" s="1994"/>
      <c r="P32" s="1994"/>
      <c r="Q32" s="1994"/>
      <c r="S32" s="2876" t="s">
        <v>441</v>
      </c>
      <c r="T32" s="2876"/>
      <c r="U32" s="1998"/>
      <c r="V32" s="2890" t="str">
        <f>IF(TITLE_DATE_PR_CHANGE="",IF(TITLE_DATE_PR="","",TITLE_DATE_PR),TITLE_DATE_PR_CHANGE)</f>
        <v/>
      </c>
      <c r="W32" s="2890"/>
      <c r="X32" s="2890"/>
      <c r="Y32" s="2890"/>
      <c r="Z32" s="2890"/>
      <c r="AA32" s="2890"/>
      <c r="AB32" s="2890"/>
      <c r="AC32" s="952"/>
      <c r="AD32" s="2890" t="str">
        <f>IF(TITLE_DATE_PR_CHANGE="",IF(TITLE_DATE_PR="","",TITLE_DATE_PR),TITLE_DATE_PR_CHANGE)</f>
        <v/>
      </c>
      <c r="AE32" s="2890"/>
      <c r="AF32" s="2890"/>
      <c r="AG32" s="2890"/>
      <c r="AH32" s="2890"/>
      <c r="AI32" s="2890"/>
      <c r="AJ32" s="2890"/>
      <c r="AK32" s="2890"/>
      <c r="AL32" s="2890"/>
      <c r="AM32" s="2890"/>
      <c r="AN32" s="2890"/>
      <c r="AO32" s="2890"/>
      <c r="AP32" s="2890"/>
      <c r="AQ32" s="2890"/>
      <c r="AR32" s="2890"/>
      <c r="AS32" s="2890"/>
      <c r="AT32" s="2890"/>
      <c r="AU32" s="2890"/>
      <c r="AV32" s="2890"/>
      <c r="AW32" s="2890"/>
      <c r="AX32" s="2890"/>
      <c r="AY32" s="2890"/>
      <c r="AZ32" s="2890"/>
      <c r="BA32" s="952"/>
      <c r="BB32" s="952"/>
      <c r="BC32" s="906"/>
      <c r="BD32" s="994"/>
      <c r="BE32" s="994"/>
      <c r="BF32" s="994"/>
      <c r="BG32" s="994"/>
      <c r="BH32" s="994"/>
      <c r="BI32" s="1044">
        <v>0</v>
      </c>
    </row>
    <row s="34794" customFormat="1" customHeight="1" ht="18.75" hidden="1">
      <c r="A33" s="1994"/>
      <c r="B33" s="1994"/>
      <c r="C33" s="1994"/>
      <c r="D33" s="1994"/>
      <c r="E33" s="1994"/>
      <c r="F33" s="1994"/>
      <c r="G33" s="1994"/>
      <c r="H33" s="1994"/>
      <c r="I33" s="1994"/>
      <c r="J33" s="1994"/>
      <c r="K33" s="1994"/>
      <c r="L33" s="1995"/>
      <c r="M33" s="1994"/>
      <c r="N33" s="1994"/>
      <c r="O33" s="1994"/>
      <c r="P33" s="1994"/>
      <c r="Q33" s="1994"/>
      <c r="S33" s="2876" t="s">
        <v>442</v>
      </c>
      <c r="T33" s="2876"/>
      <c r="U33" s="1998"/>
      <c r="V33" s="2877" t="str">
        <f>IF(TITLE_NUMBER_PR_CHANGE="",IF(TITLE_NUMBER_PR="","",TITLE_NUMBER_PR),TITLE_NUMBER_PR_CHANGE)</f>
        <v/>
      </c>
      <c r="W33" s="2877"/>
      <c r="X33" s="2877"/>
      <c r="Y33" s="2877"/>
      <c r="Z33" s="2877"/>
      <c r="AA33" s="2877"/>
      <c r="AB33" s="2877"/>
      <c r="AC33" s="952"/>
      <c r="AD33" s="2877" t="str">
        <f>IF(TITLE_NUMBER_PR_CHANGE="",IF(TITLE_NUMBER_PR="","",TITLE_NUMBER_PR),TITLE_NUMBER_PR_CHANGE)</f>
        <v/>
      </c>
      <c r="AE33" s="2877"/>
      <c r="AF33" s="2877"/>
      <c r="AG33" s="2877"/>
      <c r="AH33" s="2877"/>
      <c r="AI33" s="2877"/>
      <c r="AJ33" s="2877"/>
      <c r="AK33" s="2877"/>
      <c r="AL33" s="2877"/>
      <c r="AM33" s="2877"/>
      <c r="AN33" s="2877"/>
      <c r="AO33" s="2877"/>
      <c r="AP33" s="2877"/>
      <c r="AQ33" s="2877"/>
      <c r="AR33" s="2877"/>
      <c r="AS33" s="2877"/>
      <c r="AT33" s="2877"/>
      <c r="AU33" s="2877"/>
      <c r="AV33" s="2877"/>
      <c r="AW33" s="2877"/>
      <c r="AX33" s="2877"/>
      <c r="AY33" s="2877"/>
      <c r="AZ33" s="2877"/>
      <c r="BA33" s="952"/>
      <c r="BB33" s="952"/>
      <c r="BC33" s="906"/>
      <c r="BD33" s="994"/>
      <c r="BE33" s="994"/>
      <c r="BF33" s="994"/>
      <c r="BG33" s="994"/>
      <c r="BH33" s="994"/>
      <c r="BI33" s="1044">
        <v>0</v>
      </c>
    </row>
    <row s="34794" customFormat="1" customHeight="1" ht="18.75" hidden="1">
      <c r="A34" s="1994"/>
      <c r="B34" s="1994"/>
      <c r="C34" s="1994"/>
      <c r="D34" s="1994"/>
      <c r="E34" s="1994"/>
      <c r="F34" s="1994"/>
      <c r="G34" s="1994"/>
      <c r="H34" s="1994"/>
      <c r="I34" s="1994"/>
      <c r="J34" s="1994"/>
      <c r="K34" s="1994"/>
      <c r="L34" s="1995"/>
      <c r="M34" s="1994"/>
      <c r="N34" s="1994"/>
      <c r="O34" s="1994"/>
      <c r="P34" s="1994"/>
      <c r="Q34" s="1994"/>
      <c r="S34" s="2876" t="s">
        <v>43</v>
      </c>
      <c r="T34" s="2876"/>
      <c r="U34" s="1998"/>
      <c r="V34" s="2877" t="str">
        <f>IF(TITLE_IST_PUB_CHANGE="",IF(TITLE_IST_PUB="","",TITLE_IST_PUB),TITLE_IST_PUB_CHANGE)</f>
        <v/>
      </c>
      <c r="W34" s="2877"/>
      <c r="X34" s="2877"/>
      <c r="Y34" s="2877"/>
      <c r="Z34" s="2877"/>
      <c r="AA34" s="2877"/>
      <c r="AB34" s="2877"/>
      <c r="AC34" s="952"/>
      <c r="AD34" s="2877" t="str">
        <f>IF(TITLE_IST_PUB_CHANGE="",IF(TITLE_IST_PUB="","",TITLE_IST_PUB),TITLE_IST_PUB_CHANGE)</f>
        <v/>
      </c>
      <c r="AE34" s="2877"/>
      <c r="AF34" s="2877"/>
      <c r="AG34" s="2877"/>
      <c r="AH34" s="2877"/>
      <c r="AI34" s="2877"/>
      <c r="AJ34" s="2877"/>
      <c r="AK34" s="2877"/>
      <c r="AL34" s="2877"/>
      <c r="AM34" s="2877"/>
      <c r="AN34" s="2877"/>
      <c r="AO34" s="2877"/>
      <c r="AP34" s="2877"/>
      <c r="AQ34" s="2877"/>
      <c r="AR34" s="2877"/>
      <c r="AS34" s="2877"/>
      <c r="AT34" s="2877"/>
      <c r="AU34" s="2877"/>
      <c r="AV34" s="2877"/>
      <c r="AW34" s="2877"/>
      <c r="AX34" s="2877"/>
      <c r="AY34" s="2877"/>
      <c r="AZ34" s="2877"/>
      <c r="BA34" s="952"/>
      <c r="BB34" s="952"/>
      <c r="BC34" s="906"/>
      <c r="BD34" s="994"/>
      <c r="BE34" s="994"/>
      <c r="BF34" s="994"/>
      <c r="BG34" s="994"/>
      <c r="BH34" s="994"/>
      <c r="BI34" s="1044">
        <v>0</v>
      </c>
    </row>
    <row customHeight="1" ht="14.25" hidden="1">
      <c r="Q35" s="917"/>
      <c r="R35" s="1002"/>
      <c r="S35" s="1901"/>
      <c r="T35" s="989"/>
      <c r="U35" s="989"/>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c r="AU35" s="948"/>
      <c r="AV35" s="948"/>
      <c r="AW35" s="948"/>
      <c r="AX35" s="948"/>
      <c r="AY35" s="948"/>
      <c r="AZ35" s="948"/>
      <c r="BA35" s="948"/>
      <c r="BB35" s="1135"/>
      <c r="BI35" s="1781">
        <v>0</v>
      </c>
    </row>
    <row s="34794" customFormat="1" customHeight="1" ht="18.75" hidden="1">
      <c r="A36" s="1994"/>
      <c r="B36" s="1994"/>
      <c r="C36" s="1994"/>
      <c r="D36" s="1994"/>
      <c r="E36" s="1994"/>
      <c r="F36" s="1994"/>
      <c r="G36" s="1994"/>
      <c r="H36" s="1994"/>
      <c r="I36" s="1994"/>
      <c r="J36" s="1994"/>
      <c r="K36" s="1994"/>
      <c r="L36" s="1995"/>
      <c r="M36" s="1994"/>
      <c r="N36" s="1994"/>
      <c r="O36" s="1994"/>
      <c r="P36" s="1994"/>
      <c r="Q36" s="1994"/>
      <c r="S36" s="2876" t="s">
        <v>441</v>
      </c>
      <c r="T36" s="2876"/>
      <c r="U36" s="1998"/>
      <c r="V36" s="2890" t="str">
        <f>IF(TITLE_DATE_PR_CHANGE="",IF(TITLE_DATE_PR="","",TITLE_DATE_PR),TITLE_DATE_PR_CHANGE)</f>
        <v/>
      </c>
      <c r="W36" s="2890"/>
      <c r="X36" s="2890"/>
      <c r="Y36" s="2890"/>
      <c r="Z36" s="2890"/>
      <c r="AA36" s="2890"/>
      <c r="AB36" s="2890"/>
      <c r="AC36" s="952"/>
      <c r="AD36" s="2890" t="str">
        <f>IF(TITLE_DATE_PR_CHANGE="",IF(TITLE_DATE_PR="","",TITLE_DATE_PR),TITLE_DATE_PR_CHANGE)</f>
        <v/>
      </c>
      <c r="AE36" s="2890"/>
      <c r="AF36" s="2890"/>
      <c r="AG36" s="2890"/>
      <c r="AH36" s="2890"/>
      <c r="AI36" s="2890"/>
      <c r="AJ36" s="2890"/>
      <c r="AK36" s="2890"/>
      <c r="AL36" s="2890"/>
      <c r="AM36" s="2890"/>
      <c r="AN36" s="2890"/>
      <c r="AO36" s="2890"/>
      <c r="AP36" s="2890"/>
      <c r="AQ36" s="2890"/>
      <c r="AR36" s="2890"/>
      <c r="AS36" s="2890"/>
      <c r="AT36" s="2890"/>
      <c r="AU36" s="2890"/>
      <c r="AV36" s="2890"/>
      <c r="AW36" s="2890"/>
      <c r="AX36" s="2890"/>
      <c r="AY36" s="2890"/>
      <c r="AZ36" s="2890"/>
      <c r="BA36" s="952"/>
      <c r="BB36" s="952"/>
      <c r="BC36" s="906"/>
      <c r="BD36" s="994"/>
      <c r="BE36" s="994"/>
      <c r="BF36" s="994"/>
      <c r="BG36" s="994"/>
      <c r="BH36" s="994"/>
      <c r="BI36" s="1044">
        <v>0</v>
      </c>
    </row>
    <row s="34794" customFormat="1" customHeight="1" ht="18.75" hidden="1">
      <c r="A37" s="1994"/>
      <c r="B37" s="1994"/>
      <c r="C37" s="1994"/>
      <c r="D37" s="1994"/>
      <c r="E37" s="1994"/>
      <c r="F37" s="1994"/>
      <c r="G37" s="1994"/>
      <c r="H37" s="1994"/>
      <c r="I37" s="1994"/>
      <c r="J37" s="1994"/>
      <c r="K37" s="1994"/>
      <c r="L37" s="1995"/>
      <c r="M37" s="1994"/>
      <c r="N37" s="1994"/>
      <c r="O37" s="1994"/>
      <c r="P37" s="1994"/>
      <c r="Q37" s="1994"/>
      <c r="S37" s="2876" t="s">
        <v>442</v>
      </c>
      <c r="T37" s="2876"/>
      <c r="U37" s="1998"/>
      <c r="V37" s="2877" t="str">
        <f>IF(TITLE_NUMBER_PR_CHANGE="",IF(TITLE_NUMBER_PR="","",TITLE_NUMBER_PR),TITLE_NUMBER_PR_CHANGE)</f>
        <v/>
      </c>
      <c r="W37" s="2877"/>
      <c r="X37" s="2877"/>
      <c r="Y37" s="2877"/>
      <c r="Z37" s="2877"/>
      <c r="AA37" s="2877"/>
      <c r="AB37" s="2877"/>
      <c r="AC37" s="952"/>
      <c r="AD37" s="2877" t="str">
        <f>IF(TITLE_NUMBER_PR_CHANGE="",IF(TITLE_NUMBER_PR="","",TITLE_NUMBER_PR),TITLE_NUMBER_PR_CHANGE)</f>
        <v/>
      </c>
      <c r="AE37" s="2877"/>
      <c r="AF37" s="2877"/>
      <c r="AG37" s="2877"/>
      <c r="AH37" s="2877"/>
      <c r="AI37" s="2877"/>
      <c r="AJ37" s="2877"/>
      <c r="AK37" s="2877"/>
      <c r="AL37" s="2877"/>
      <c r="AM37" s="2877"/>
      <c r="AN37" s="2877"/>
      <c r="AO37" s="2877"/>
      <c r="AP37" s="2877"/>
      <c r="AQ37" s="2877"/>
      <c r="AR37" s="2877"/>
      <c r="AS37" s="2877"/>
      <c r="AT37" s="2877"/>
      <c r="AU37" s="2877"/>
      <c r="AV37" s="2877"/>
      <c r="AW37" s="2877"/>
      <c r="AX37" s="2877"/>
      <c r="AY37" s="2877"/>
      <c r="AZ37" s="2877"/>
      <c r="BA37" s="952"/>
      <c r="BB37" s="952"/>
      <c r="BC37" s="906"/>
      <c r="BD37" s="994"/>
      <c r="BE37" s="994"/>
      <c r="BF37" s="994"/>
      <c r="BG37" s="994"/>
      <c r="BH37" s="994"/>
      <c r="BI37" s="1044">
        <v>0</v>
      </c>
    </row>
    <row s="34794" customFormat="1" customHeight="1" ht="0">
      <c r="A38" s="1994"/>
      <c r="B38" s="1994"/>
      <c r="C38" s="1994"/>
      <c r="D38" s="1994"/>
      <c r="E38" s="1994"/>
      <c r="F38" s="1994"/>
      <c r="G38" s="1994"/>
      <c r="H38" s="1994"/>
      <c r="I38" s="1994"/>
      <c r="J38" s="1994"/>
      <c r="K38" s="1994"/>
      <c r="L38" s="1995"/>
      <c r="M38" s="1994"/>
      <c r="N38" s="1994"/>
      <c r="O38" s="1994"/>
      <c r="P38" s="1994"/>
      <c r="Q38" s="1994"/>
      <c r="S38" s="949"/>
      <c r="T38" s="949"/>
      <c r="U38" s="2114"/>
      <c r="V38" s="952"/>
      <c r="W38" s="952"/>
      <c r="X38" s="952"/>
      <c r="Y38" s="952"/>
      <c r="Z38" s="952"/>
      <c r="AA38" s="952"/>
      <c r="AB38" s="952"/>
      <c r="AC38" s="904" t="s">
        <v>445</v>
      </c>
      <c r="AD38" s="952"/>
      <c r="AE38" s="952"/>
      <c r="AF38" s="952"/>
      <c r="AG38" s="952"/>
      <c r="AH38" s="952"/>
      <c r="AI38" s="952"/>
      <c r="AJ38" s="952"/>
      <c r="AK38" s="952"/>
      <c r="AL38" s="952"/>
      <c r="AM38" s="952"/>
      <c r="AN38" s="952"/>
      <c r="AO38" s="952"/>
      <c r="AP38" s="952"/>
      <c r="AQ38" s="952"/>
      <c r="AR38" s="952"/>
      <c r="AS38" s="952"/>
      <c r="AT38" s="952"/>
      <c r="AU38" s="952"/>
      <c r="AV38" s="952"/>
      <c r="AW38" s="952"/>
      <c r="AX38" s="952"/>
      <c r="AY38" s="952"/>
      <c r="AZ38" s="952"/>
      <c r="BA38" s="904" t="s">
        <v>445</v>
      </c>
      <c r="BD38" s="994"/>
      <c r="BE38" s="994"/>
      <c r="BF38" s="994"/>
      <c r="BG38" s="994"/>
      <c r="BH38" s="994"/>
      <c r="BI38" s="1044">
        <v>0</v>
      </c>
    </row>
    <row customHeight="1" ht="14.699999999999998">
      <c r="Q39" s="917"/>
      <c r="R39" s="1002"/>
      <c r="S39" s="1901"/>
      <c r="T39" s="989"/>
      <c r="U39" s="1870"/>
      <c r="V39" s="2878"/>
      <c r="W39" s="2878"/>
      <c r="X39" s="2878"/>
      <c r="Y39" s="2878"/>
      <c r="Z39" s="2878"/>
      <c r="AA39" s="2878"/>
      <c r="AB39" s="2878"/>
      <c r="AC39" s="2878"/>
      <c r="AD39" s="2878"/>
      <c r="AE39" s="2878"/>
      <c r="AF39" s="2878"/>
      <c r="AG39" s="2878"/>
      <c r="AH39" s="2878"/>
      <c r="AI39" s="2878"/>
      <c r="AJ39" s="2878"/>
      <c r="AK39" s="2878"/>
      <c r="AL39" s="2878"/>
      <c r="AM39" s="2878"/>
      <c r="AN39" s="2878"/>
      <c r="AO39" s="2878"/>
      <c r="AP39" s="2878"/>
      <c r="AQ39" s="2878"/>
      <c r="AR39" s="2878"/>
      <c r="AS39" s="2878"/>
      <c r="AT39" s="2878"/>
      <c r="AU39" s="2878"/>
      <c r="AV39" s="2878"/>
      <c r="AW39" s="2878"/>
      <c r="AX39" s="2878"/>
      <c r="AY39" s="2878"/>
      <c r="AZ39" s="2878"/>
      <c r="BA39" s="2878"/>
      <c r="BI39" s="1781">
        <v>14</v>
      </c>
    </row>
    <row customHeight="1" ht="14.699999999999998">
      <c r="Q40" s="917"/>
      <c r="R40" s="1002"/>
      <c r="S40" s="2753" t="s">
        <v>318</v>
      </c>
      <c r="T40" s="2753"/>
      <c r="U40" s="2753"/>
      <c r="V40" s="2753"/>
      <c r="W40" s="2753"/>
      <c r="X40" s="2753"/>
      <c r="Y40" s="2753"/>
      <c r="Z40" s="2753"/>
      <c r="AA40" s="2753"/>
      <c r="AB40" s="2753"/>
      <c r="AC40" s="2753"/>
      <c r="AD40" s="2753"/>
      <c r="AE40" s="2753"/>
      <c r="AF40" s="2753"/>
      <c r="AG40" s="2753"/>
      <c r="AH40" s="2753"/>
      <c r="AI40" s="2753"/>
      <c r="AJ40" s="2753"/>
      <c r="AK40" s="2753"/>
      <c r="AL40" s="2753"/>
      <c r="AM40" s="2753"/>
      <c r="AN40" s="2753"/>
      <c r="AO40" s="2753"/>
      <c r="AP40" s="2753"/>
      <c r="AQ40" s="2753"/>
      <c r="AR40" s="2753"/>
      <c r="AS40" s="2753"/>
      <c r="AT40" s="2753"/>
      <c r="AU40" s="2753"/>
      <c r="AV40" s="2753"/>
      <c r="AW40" s="2753"/>
      <c r="AX40" s="2753"/>
      <c r="AY40" s="2753"/>
      <c r="AZ40" s="2753"/>
      <c r="BA40" s="2753"/>
      <c r="BB40" s="2753"/>
      <c r="BC40" s="2753" t="s">
        <v>319</v>
      </c>
      <c r="BI40" s="1781">
        <v>14</v>
      </c>
    </row>
    <row customHeight="1" ht="14.699999999999998">
      <c r="Q41" s="917"/>
      <c r="R41" s="1002"/>
      <c r="S41" s="2899" t="s">
        <v>88</v>
      </c>
      <c r="T41" s="2835" t="s">
        <v>525</v>
      </c>
      <c r="U41" s="927"/>
      <c r="V41" s="2900" t="s">
        <v>447</v>
      </c>
      <c r="W41" s="2901"/>
      <c r="X41" s="2901"/>
      <c r="Y41" s="2901"/>
      <c r="Z41" s="2901"/>
      <c r="AA41" s="2901"/>
      <c r="AB41" s="2902"/>
      <c r="AC41" s="2903" t="s">
        <v>448</v>
      </c>
      <c r="AD41" s="2954" t="s">
        <v>526</v>
      </c>
      <c r="AE41" s="2917"/>
      <c r="AF41" s="2917"/>
      <c r="AG41" s="2955"/>
      <c r="AH41" s="2954" t="s">
        <v>527</v>
      </c>
      <c r="AI41" s="2917"/>
      <c r="AJ41" s="2917"/>
      <c r="AK41" s="2955"/>
      <c r="AL41" s="2954" t="s">
        <v>528</v>
      </c>
      <c r="AM41" s="2917"/>
      <c r="AN41" s="2917"/>
      <c r="AO41" s="2955"/>
      <c r="AP41" s="2954" t="s">
        <v>529</v>
      </c>
      <c r="AQ41" s="2917"/>
      <c r="AR41" s="2917"/>
      <c r="AS41" s="2955"/>
      <c r="AT41" s="2900" t="s">
        <v>447</v>
      </c>
      <c r="AU41" s="2901"/>
      <c r="AV41" s="2901"/>
      <c r="AW41" s="2901"/>
      <c r="AX41" s="2901"/>
      <c r="AY41" s="2901"/>
      <c r="AZ41" s="2902"/>
      <c r="BA41" s="2903" t="s">
        <v>448</v>
      </c>
      <c r="BB41" s="2906" t="s">
        <v>450</v>
      </c>
      <c r="BC41" s="2753"/>
      <c r="BI41" s="1781">
        <v>14</v>
      </c>
    </row>
    <row customHeight="1" ht="35.699999999999996">
      <c r="Q42" s="917"/>
      <c r="R42" s="1002"/>
      <c r="S42" s="2899"/>
      <c r="T42" s="2835"/>
      <c r="U42" s="1657"/>
      <c r="V42" s="2818" t="s">
        <v>530</v>
      </c>
      <c r="W42" s="2819"/>
      <c r="X42" s="2818" t="s">
        <v>531</v>
      </c>
      <c r="Y42" s="2819"/>
      <c r="Z42" s="2920" t="s">
        <v>532</v>
      </c>
      <c r="AA42" s="2939"/>
      <c r="AB42" s="2940"/>
      <c r="AC42" s="2904"/>
      <c r="AD42" s="2956"/>
      <c r="AE42" s="2957"/>
      <c r="AF42" s="2957"/>
      <c r="AG42" s="2958"/>
      <c r="AH42" s="2956"/>
      <c r="AI42" s="2957"/>
      <c r="AJ42" s="2957"/>
      <c r="AK42" s="2958"/>
      <c r="AL42" s="2956"/>
      <c r="AM42" s="2957"/>
      <c r="AN42" s="2957"/>
      <c r="AO42" s="2958"/>
      <c r="AP42" s="2956"/>
      <c r="AQ42" s="2957"/>
      <c r="AR42" s="2957"/>
      <c r="AS42" s="2958"/>
      <c r="AT42" s="2818" t="s">
        <v>530</v>
      </c>
      <c r="AU42" s="2819"/>
      <c r="AV42" s="2818" t="s">
        <v>531</v>
      </c>
      <c r="AW42" s="2819"/>
      <c r="AX42" s="2920" t="s">
        <v>532</v>
      </c>
      <c r="AY42" s="2939"/>
      <c r="AZ42" s="2940"/>
      <c r="BA42" s="2904"/>
      <c r="BB42" s="2907"/>
      <c r="BC42" s="2753"/>
      <c r="BI42" s="1781">
        <v>34</v>
      </c>
    </row>
    <row customHeight="1" ht="14.699999999999998">
      <c r="Q43" s="917"/>
      <c r="R43" s="1002"/>
      <c r="S43" s="2899"/>
      <c r="T43" s="2835"/>
      <c r="U43" s="1657"/>
      <c r="V43" s="2826"/>
      <c r="W43" s="2827"/>
      <c r="X43" s="2826"/>
      <c r="Y43" s="2827"/>
      <c r="Z43" s="2921"/>
      <c r="AA43" s="2941"/>
      <c r="AB43" s="2942"/>
      <c r="AC43" s="2904"/>
      <c r="AD43" s="2956"/>
      <c r="AE43" s="2957"/>
      <c r="AF43" s="2957"/>
      <c r="AG43" s="2958"/>
      <c r="AH43" s="2956"/>
      <c r="AI43" s="2957"/>
      <c r="AJ43" s="2957"/>
      <c r="AK43" s="2958"/>
      <c r="AL43" s="2956"/>
      <c r="AM43" s="2957"/>
      <c r="AN43" s="2957"/>
      <c r="AO43" s="2958"/>
      <c r="AP43" s="2956"/>
      <c r="AQ43" s="2957"/>
      <c r="AR43" s="2957"/>
      <c r="AS43" s="2958"/>
      <c r="AT43" s="2826"/>
      <c r="AU43" s="2827"/>
      <c r="AV43" s="2826"/>
      <c r="AW43" s="2827"/>
      <c r="AX43" s="2921"/>
      <c r="AY43" s="2941"/>
      <c r="AZ43" s="2942"/>
      <c r="BA43" s="2904"/>
      <c r="BB43" s="2907"/>
      <c r="BC43" s="2753"/>
      <c r="BI43" s="1781">
        <v>14</v>
      </c>
    </row>
    <row customHeight="1" ht="14.699999999999998">
      <c r="A44" s="1996"/>
      <c r="B44" s="1996" t="s">
        <v>155</v>
      </c>
      <c r="C44" s="1996" t="s">
        <v>156</v>
      </c>
      <c r="D44" s="1996" t="s">
        <v>157</v>
      </c>
      <c r="E44" s="1990" t="s">
        <v>455</v>
      </c>
      <c r="F44" s="1990" t="s">
        <v>456</v>
      </c>
      <c r="G44" s="1990" t="s">
        <v>457</v>
      </c>
      <c r="H44" s="1990" t="s">
        <v>458</v>
      </c>
      <c r="I44" s="1990" t="s">
        <v>459</v>
      </c>
      <c r="J44" s="1990" t="s">
        <v>460</v>
      </c>
      <c r="K44" s="1990" t="s">
        <v>461</v>
      </c>
      <c r="L44" s="1990" t="s">
        <v>436</v>
      </c>
      <c r="Q44" s="917"/>
      <c r="R44" s="1002"/>
      <c r="S44" s="2899"/>
      <c r="T44" s="2835"/>
      <c r="U44" s="928"/>
      <c r="V44" s="2105" t="s">
        <v>496</v>
      </c>
      <c r="W44" s="2105" t="s">
        <v>497</v>
      </c>
      <c r="X44" s="2105" t="s">
        <v>496</v>
      </c>
      <c r="Y44" s="2105" t="s">
        <v>497</v>
      </c>
      <c r="Z44" s="2115" t="s">
        <v>464</v>
      </c>
      <c r="AA44" s="2896" t="s">
        <v>465</v>
      </c>
      <c r="AB44" s="2897"/>
      <c r="AC44" s="2905"/>
      <c r="AD44" s="2959"/>
      <c r="AE44" s="2960"/>
      <c r="AF44" s="2960"/>
      <c r="AG44" s="2961"/>
      <c r="AH44" s="2959"/>
      <c r="AI44" s="2960"/>
      <c r="AJ44" s="2960"/>
      <c r="AK44" s="2961"/>
      <c r="AL44" s="2959"/>
      <c r="AM44" s="2960"/>
      <c r="AN44" s="2960"/>
      <c r="AO44" s="2961"/>
      <c r="AP44" s="2959"/>
      <c r="AQ44" s="2960"/>
      <c r="AR44" s="2960"/>
      <c r="AS44" s="2961"/>
      <c r="AT44" s="2105" t="s">
        <v>496</v>
      </c>
      <c r="AU44" s="2105" t="s">
        <v>497</v>
      </c>
      <c r="AV44" s="2105" t="s">
        <v>496</v>
      </c>
      <c r="AW44" s="2105" t="s">
        <v>497</v>
      </c>
      <c r="AX44" s="2115" t="s">
        <v>464</v>
      </c>
      <c r="AY44" s="2896" t="s">
        <v>465</v>
      </c>
      <c r="AZ44" s="2897"/>
      <c r="BA44" s="2905"/>
      <c r="BB44" s="2908"/>
      <c r="BC44" s="2753"/>
      <c r="BI44" s="1781">
        <v>14</v>
      </c>
    </row>
    <row s="35197" customFormat="1" customHeight="1" ht="0">
      <c r="A45" s="1996"/>
      <c r="B45" s="1996"/>
      <c r="C45" s="1996"/>
      <c r="D45" s="1996"/>
      <c r="E45" s="1996"/>
      <c r="F45" s="1996"/>
      <c r="G45" s="1996"/>
      <c r="H45" s="1996"/>
      <c r="I45" s="1996"/>
      <c r="J45" s="1996"/>
      <c r="K45" s="1996"/>
      <c r="L45" s="1990"/>
      <c r="M45" s="1988"/>
      <c r="N45" s="1988"/>
      <c r="O45" s="1988"/>
      <c r="P45" s="1136"/>
      <c r="Q45" s="1880"/>
      <c r="R45" s="1880">
        <v>1</v>
      </c>
      <c r="S45" s="1903" t="s">
        <v>118</v>
      </c>
      <c r="T45" s="1881" t="s">
        <v>102</v>
      </c>
      <c r="U45" s="1871" t="str">
        <f>OFFSET(U45,0,-1)</f>
        <v>2</v>
      </c>
      <c r="V45" s="2108">
        <f>OFFSET(V45,0,-1)+1</f>
        <v>3</v>
      </c>
      <c r="W45" s="2108">
        <f>OFFSET(W45,0,-1)+1</f>
        <v>4</v>
      </c>
      <c r="X45" s="2108">
        <f>OFFSET(X45,0,-1)+1</f>
        <v>5</v>
      </c>
      <c r="Y45" s="2108">
        <f>OFFSET(Y45,0,-1)+1</f>
        <v>6</v>
      </c>
      <c r="Z45" s="2108">
        <f>OFFSET(Z45,0,-1)+1</f>
        <v>7</v>
      </c>
      <c r="AA45" s="2898">
        <f>OFFSET(AA45,0,-1)+1</f>
        <v>8</v>
      </c>
      <c r="AB45" s="2898"/>
      <c r="AC45" s="2108">
        <f>OFFSET(AC45,0,-2)+1</f>
        <v>9</v>
      </c>
      <c r="AD45" s="2108">
        <f>OFFSET(AD45,0,-1)+1</f>
        <v>10</v>
      </c>
      <c r="AE45" s="2108"/>
      <c r="AF45" s="2108"/>
      <c r="AG45" s="2108"/>
      <c r="AH45" s="2108"/>
      <c r="AI45" s="2108"/>
      <c r="AJ45" s="2108"/>
      <c r="AK45" s="2108"/>
      <c r="AL45" s="2108"/>
      <c r="AM45" s="2108"/>
      <c r="AN45" s="2108"/>
      <c r="AO45" s="2108"/>
      <c r="AP45" s="2108"/>
      <c r="AQ45" s="2108"/>
      <c r="AR45" s="2108"/>
      <c r="AS45" s="2108"/>
      <c r="AT45" s="2108"/>
      <c r="AU45" s="2108"/>
      <c r="AV45" s="2108"/>
      <c r="AW45" s="2108">
        <f>OFFSET(AW45,0,-1)+1</f>
        <v>1</v>
      </c>
      <c r="AX45" s="2108">
        <f>OFFSET(AX45,0,-1)+1</f>
        <v>2</v>
      </c>
      <c r="AY45" s="2898">
        <f>OFFSET(AY45,0,-1)+1</f>
        <v>3</v>
      </c>
      <c r="AZ45" s="2898"/>
      <c r="BA45" s="2108">
        <f>OFFSET(BA45,0,-2)+1</f>
        <v>4</v>
      </c>
      <c r="BB45" s="1871">
        <f>OFFSET(BB45,0,-1)</f>
        <v>4</v>
      </c>
      <c r="BC45" s="2108">
        <f>OFFSET(BC45,0,-1)+1</f>
        <v>5</v>
      </c>
      <c r="BD45" s="1137"/>
      <c r="BE45" s="1137"/>
      <c r="BF45" s="1137"/>
      <c r="BG45" s="1137"/>
      <c r="BH45" s="1137"/>
      <c r="BI45" s="1122">
        <v>0</v>
      </c>
    </row>
    <row customHeight="1" ht="22.049999999999997">
      <c r="A46" s="1989" t="s">
        <v>279</v>
      </c>
      <c r="B46" s="1989"/>
      <c r="C46" s="1989"/>
      <c r="D46" s="1989"/>
      <c r="E46" s="2884">
        <v>1</v>
      </c>
      <c r="F46" s="1989"/>
      <c r="G46" s="1989"/>
      <c r="H46" s="1989"/>
      <c r="I46" s="1989"/>
      <c r="J46" s="1989"/>
      <c r="K46" s="1989"/>
      <c r="L46" s="1990"/>
      <c r="M46" s="1991"/>
      <c r="N46" s="1991"/>
      <c r="O46" s="1991"/>
      <c r="P46" s="2035"/>
      <c r="Q46" s="1499"/>
      <c r="R46" s="981"/>
      <c r="S46" s="2119">
        <f>INDEX(PT_DIFFERENTIATION_NUM_NTAR,MATCH(A46,PT_DIFFERENTIATION_NTAR_ID,0))</f>
        <v>0</v>
      </c>
      <c r="T46" s="924" t="s">
        <v>143</v>
      </c>
      <c r="U46" s="926"/>
      <c r="V46" s="2869"/>
      <c r="W46" s="2869"/>
      <c r="X46" s="2869"/>
      <c r="Y46" s="2869"/>
      <c r="Z46" s="2869"/>
      <c r="AA46" s="2869"/>
      <c r="AB46" s="2869"/>
      <c r="AC46" s="2870"/>
      <c r="AD46" s="2868" t="str">
        <f>INDEX(PT_DIFFERENTIATION_NTAR,MATCH(A46,PT_DIFFERENTIATION_NTAR_ID,0))</f>
        <v/>
      </c>
      <c r="AE46" s="2869"/>
      <c r="AF46" s="2869"/>
      <c r="AG46" s="2869"/>
      <c r="AH46" s="2869"/>
      <c r="AI46" s="2869"/>
      <c r="AJ46" s="2869"/>
      <c r="AK46" s="2869"/>
      <c r="AL46" s="2869"/>
      <c r="AM46" s="2869"/>
      <c r="AN46" s="2869"/>
      <c r="AO46" s="2869"/>
      <c r="AP46" s="2869"/>
      <c r="AQ46" s="2869"/>
      <c r="AR46" s="2869"/>
      <c r="AS46" s="2869"/>
      <c r="AT46" s="2869"/>
      <c r="AU46" s="2869"/>
      <c r="AV46" s="2869"/>
      <c r="AW46" s="2869"/>
      <c r="AX46" s="2869"/>
      <c r="AY46" s="2869"/>
      <c r="AZ46" s="2869"/>
      <c r="BA46" s="2869"/>
      <c r="BB46" s="2870"/>
      <c r="BC46" s="18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26"/>
      <c r="BF46" s="1126" t="str">
        <f>IF(T46="","",T46)</f>
        <v>Наименование тарифа</v>
      </c>
      <c r="BG46" s="1126"/>
      <c r="BH46" s="1126"/>
      <c r="BI46" s="1781">
        <v>21</v>
      </c>
    </row>
    <row customHeight="1" ht="22.049999999999997">
      <c r="A47" s="1989" t="s">
        <v>279</v>
      </c>
      <c r="B47" s="1989" t="s">
        <v>280</v>
      </c>
      <c r="C47" s="1989"/>
      <c r="D47" s="1989"/>
      <c r="E47" s="2885"/>
      <c r="F47" s="2884">
        <v>1</v>
      </c>
      <c r="G47" s="1989"/>
      <c r="H47" s="1989"/>
      <c r="I47" s="1989"/>
      <c r="J47" s="1989"/>
      <c r="K47" s="1989"/>
      <c r="L47" s="1990"/>
      <c r="M47" s="1991"/>
      <c r="N47" s="1991"/>
      <c r="O47" s="1991"/>
      <c r="P47" s="2036"/>
      <c r="Q47" s="2037"/>
      <c r="R47" s="979"/>
      <c r="S47" s="2119" t="str">
        <f>INDEX(PT_DIFFERENTIATION_NUM_TER,MATCH(B47,PT_DIFFERENTIATION_TER_ID,0))</f>
        <v>.</v>
      </c>
      <c r="T47" s="934" t="s">
        <v>415</v>
      </c>
      <c r="U47" s="926"/>
      <c r="V47" s="2869"/>
      <c r="W47" s="2869"/>
      <c r="X47" s="2869"/>
      <c r="Y47" s="2869"/>
      <c r="Z47" s="2869"/>
      <c r="AA47" s="2869"/>
      <c r="AB47" s="2869"/>
      <c r="AC47" s="2870"/>
      <c r="AD47" s="2868" t="str">
        <f>INDEX(PT_DIFFERENTIATION_TER,MATCH(B47,PT_DIFFERENTIATION_TER_ID,0))</f>
        <v/>
      </c>
      <c r="AE47" s="2869"/>
      <c r="AF47" s="2869"/>
      <c r="AG47" s="2869"/>
      <c r="AH47" s="2869"/>
      <c r="AI47" s="2869"/>
      <c r="AJ47" s="2869"/>
      <c r="AK47" s="2869"/>
      <c r="AL47" s="2869"/>
      <c r="AM47" s="2869"/>
      <c r="AN47" s="2869"/>
      <c r="AO47" s="2869"/>
      <c r="AP47" s="2869"/>
      <c r="AQ47" s="2869"/>
      <c r="AR47" s="2869"/>
      <c r="AS47" s="2869"/>
      <c r="AT47" s="2869"/>
      <c r="AU47" s="2869"/>
      <c r="AV47" s="2869"/>
      <c r="AW47" s="2869"/>
      <c r="AX47" s="2869"/>
      <c r="AY47" s="2869"/>
      <c r="AZ47" s="2869"/>
      <c r="BA47" s="2869"/>
      <c r="BB47" s="2870"/>
      <c r="BC47" s="1884" t="s">
        <v>416</v>
      </c>
      <c r="BE47" s="1126"/>
      <c r="BF47" s="1126" t="str">
        <f>IF(T47="","",T47)</f>
        <v>Территория действия тарифа</v>
      </c>
      <c r="BG47" s="1126"/>
      <c r="BH47" s="1126"/>
      <c r="BI47" s="1781">
        <v>21</v>
      </c>
    </row>
    <row customHeight="1" ht="35.699999999999996">
      <c r="A48" s="1989" t="s">
        <v>279</v>
      </c>
      <c r="B48" s="1989" t="s">
        <v>280</v>
      </c>
      <c r="C48" s="1989" t="s">
        <v>281</v>
      </c>
      <c r="D48" s="1989"/>
      <c r="E48" s="2885"/>
      <c r="F48" s="2885"/>
      <c r="G48" s="2884">
        <v>1</v>
      </c>
      <c r="H48" s="1989"/>
      <c r="I48" s="1989"/>
      <c r="J48" s="1989"/>
      <c r="K48" s="1989"/>
      <c r="L48" s="1990"/>
      <c r="M48" s="1991"/>
      <c r="N48" s="1991"/>
      <c r="O48" s="1991"/>
      <c r="P48" s="2038"/>
      <c r="Q48" s="2037"/>
      <c r="R48" s="979"/>
      <c r="S48" s="2119" t="str">
        <f>INDEX(PT_DIFFERENTIATION_NUM_CS,MATCH(C48,PT_DIFFERENTIATION_CS_ID,0))</f>
        <v>..</v>
      </c>
      <c r="T48" s="935" t="s">
        <v>548</v>
      </c>
      <c r="U48" s="926"/>
      <c r="V48" s="2869"/>
      <c r="W48" s="2869"/>
      <c r="X48" s="2869"/>
      <c r="Y48" s="2869"/>
      <c r="Z48" s="2869"/>
      <c r="AA48" s="2869"/>
      <c r="AB48" s="2869"/>
      <c r="AC48" s="2870"/>
      <c r="AD48" s="2868" t="str">
        <f>INDEX(PT_DIFFERENTIATION_CS,MATCH(C48,PT_DIFFERENTIATION_CS_ID,0))</f>
        <v/>
      </c>
      <c r="AE48" s="2869"/>
      <c r="AF48" s="2869"/>
      <c r="AG48" s="2869"/>
      <c r="AH48" s="2869"/>
      <c r="AI48" s="2869"/>
      <c r="AJ48" s="2869"/>
      <c r="AK48" s="2869"/>
      <c r="AL48" s="2869"/>
      <c r="AM48" s="2869"/>
      <c r="AN48" s="2869"/>
      <c r="AO48" s="2869"/>
      <c r="AP48" s="2869"/>
      <c r="AQ48" s="2869"/>
      <c r="AR48" s="2869"/>
      <c r="AS48" s="2869"/>
      <c r="AT48" s="2869"/>
      <c r="AU48" s="2869"/>
      <c r="AV48" s="2869"/>
      <c r="AW48" s="2869"/>
      <c r="AX48" s="2869"/>
      <c r="AY48" s="2869"/>
      <c r="AZ48" s="2869"/>
      <c r="BA48" s="2869"/>
      <c r="BB48" s="2870"/>
      <c r="BC48" s="1884" t="s">
        <v>549</v>
      </c>
      <c r="BE48" s="1126"/>
      <c r="BF48" s="1126" t="str">
        <f>IF(T48="","",T48)</f>
        <v>Наименование централизованной системы горячего водоснабжения</v>
      </c>
      <c r="BG48" s="1126"/>
      <c r="BH48" s="1126"/>
      <c r="BI48" s="1781">
        <v>34</v>
      </c>
    </row>
    <row s="34658" customFormat="1" customHeight="1" ht="0">
      <c r="A49" s="1969" t="s">
        <v>279</v>
      </c>
      <c r="B49" s="1969" t="s">
        <v>280</v>
      </c>
      <c r="C49" s="1969" t="s">
        <v>281</v>
      </c>
      <c r="D49" s="1969" t="s">
        <v>562</v>
      </c>
      <c r="E49" s="2885"/>
      <c r="F49" s="2885"/>
      <c r="G49" s="2885"/>
      <c r="H49" s="2884">
        <v>1</v>
      </c>
      <c r="I49" s="1969"/>
      <c r="J49" s="1969"/>
      <c r="K49" s="1969"/>
      <c r="L49" s="1972"/>
      <c r="M49" s="1941"/>
      <c r="N49" s="1941"/>
      <c r="O49" s="1941"/>
      <c r="P49" s="2123"/>
      <c r="Q49" s="2124"/>
      <c r="R49" s="983"/>
      <c r="S49" s="1668"/>
      <c r="T49" s="2125"/>
      <c r="U49" s="2010"/>
      <c r="V49" s="2923"/>
      <c r="W49" s="2923"/>
      <c r="X49" s="2923"/>
      <c r="Y49" s="2923"/>
      <c r="Z49" s="2923"/>
      <c r="AA49" s="2923"/>
      <c r="AB49" s="2923"/>
      <c r="AC49" s="2924"/>
      <c r="AD49" s="2922"/>
      <c r="AE49" s="2923"/>
      <c r="AF49" s="2923"/>
      <c r="AG49" s="2923"/>
      <c r="AH49" s="2923"/>
      <c r="AI49" s="2923"/>
      <c r="AJ49" s="2923"/>
      <c r="AK49" s="2923"/>
      <c r="AL49" s="2923"/>
      <c r="AM49" s="2923"/>
      <c r="AN49" s="2923"/>
      <c r="AO49" s="2923"/>
      <c r="AP49" s="2923"/>
      <c r="AQ49" s="2923"/>
      <c r="AR49" s="2923"/>
      <c r="AS49" s="2923"/>
      <c r="AT49" s="2923"/>
      <c r="AU49" s="2923"/>
      <c r="AV49" s="2923"/>
      <c r="AW49" s="2923"/>
      <c r="AX49" s="2923"/>
      <c r="AY49" s="2923"/>
      <c r="AZ49" s="2923"/>
      <c r="BA49" s="2923"/>
      <c r="BB49" s="2924"/>
      <c r="BC49" s="2011" t="s">
        <v>420</v>
      </c>
      <c r="BE49" s="1126"/>
      <c r="BF49" s="1126" t="str">
        <f>IF(T49="","",T49)</f>
        <v/>
      </c>
      <c r="BG49" s="1126"/>
      <c r="BH49" s="1126"/>
      <c r="BI49" s="1137">
        <v>0</v>
      </c>
    </row>
    <row s="34658" customFormat="1" customHeight="1" ht="0">
      <c r="A50" s="1969" t="s">
        <v>279</v>
      </c>
      <c r="B50" s="1969" t="s">
        <v>280</v>
      </c>
      <c r="C50" s="1969" t="s">
        <v>281</v>
      </c>
      <c r="D50" s="1969" t="s">
        <v>562</v>
      </c>
      <c r="E50" s="2885"/>
      <c r="F50" s="2885"/>
      <c r="G50" s="2885"/>
      <c r="H50" s="2885"/>
      <c r="I50" s="2882" t="str">
        <f>S49&amp;".1"</f>
        <v>.1</v>
      </c>
      <c r="J50" s="1969"/>
      <c r="K50" s="1969"/>
      <c r="L50" s="1972" t="s">
        <v>421</v>
      </c>
      <c r="M50" s="1136"/>
      <c r="N50" s="1136"/>
      <c r="O50" s="1136"/>
      <c r="P50" s="2883">
        <v>1</v>
      </c>
      <c r="Q50" s="2107"/>
      <c r="R50" s="982"/>
      <c r="S50" s="1668"/>
      <c r="T50" s="2009"/>
      <c r="U50" s="2010"/>
      <c r="V50" s="2923"/>
      <c r="W50" s="2923"/>
      <c r="X50" s="2923"/>
      <c r="Y50" s="2923"/>
      <c r="Z50" s="2923"/>
      <c r="AA50" s="2923"/>
      <c r="AB50" s="2923"/>
      <c r="AC50" s="2924"/>
      <c r="AD50" s="2922"/>
      <c r="AE50" s="2923"/>
      <c r="AF50" s="2923"/>
      <c r="AG50" s="2923"/>
      <c r="AH50" s="2923"/>
      <c r="AI50" s="2923"/>
      <c r="AJ50" s="2923"/>
      <c r="AK50" s="2923"/>
      <c r="AL50" s="2923"/>
      <c r="AM50" s="2923"/>
      <c r="AN50" s="2923"/>
      <c r="AO50" s="2923"/>
      <c r="AP50" s="2923"/>
      <c r="AQ50" s="2923"/>
      <c r="AR50" s="2923"/>
      <c r="AS50" s="2923"/>
      <c r="AT50" s="2923"/>
      <c r="AU50" s="2923"/>
      <c r="AV50" s="2923"/>
      <c r="AW50" s="2923"/>
      <c r="AX50" s="2923"/>
      <c r="AY50" s="2923"/>
      <c r="AZ50" s="2923"/>
      <c r="BA50" s="2923"/>
      <c r="BB50" s="2924"/>
      <c r="BC50" s="2011"/>
      <c r="BE50" s="1126"/>
      <c r="BF50" s="1126" t="str">
        <f>IF(T50="","",T50)</f>
        <v/>
      </c>
      <c r="BG50" s="1126"/>
      <c r="BH50" s="1126"/>
      <c r="BI50" s="1137">
        <v>0</v>
      </c>
    </row>
    <row s="34658" customFormat="1" customHeight="1" ht="0">
      <c r="A51" s="1969" t="s">
        <v>279</v>
      </c>
      <c r="B51" s="1969" t="s">
        <v>280</v>
      </c>
      <c r="C51" s="1969" t="s">
        <v>281</v>
      </c>
      <c r="D51" s="1969" t="s">
        <v>562</v>
      </c>
      <c r="E51" s="2885"/>
      <c r="F51" s="2885"/>
      <c r="G51" s="2885"/>
      <c r="H51" s="2885"/>
      <c r="I51" s="2912"/>
      <c r="J51" s="2882" t="str">
        <f>S49&amp;".1"</f>
        <v>.1</v>
      </c>
      <c r="K51" s="1969"/>
      <c r="L51" s="1972"/>
      <c r="M51" s="1136"/>
      <c r="N51" s="1136"/>
      <c r="O51" s="1136"/>
      <c r="P51" s="2883"/>
      <c r="Q51" s="2883">
        <v>1</v>
      </c>
      <c r="R51" s="983"/>
      <c r="S51" s="1668"/>
      <c r="T51" s="2025"/>
      <c r="U51" s="2010"/>
      <c r="V51" s="2923"/>
      <c r="W51" s="2923"/>
      <c r="X51" s="2923"/>
      <c r="Y51" s="2923"/>
      <c r="Z51" s="2923"/>
      <c r="AA51" s="2923"/>
      <c r="AB51" s="2923"/>
      <c r="AC51" s="2924"/>
      <c r="AD51" s="2922"/>
      <c r="AE51" s="2923"/>
      <c r="AF51" s="2923"/>
      <c r="AG51" s="2923"/>
      <c r="AH51" s="2923"/>
      <c r="AI51" s="2923"/>
      <c r="AJ51" s="2923"/>
      <c r="AK51" s="2923"/>
      <c r="AL51" s="2923"/>
      <c r="AM51" s="2923"/>
      <c r="AN51" s="2990"/>
      <c r="AO51" s="2990"/>
      <c r="AP51" s="2923"/>
      <c r="AQ51" s="2923"/>
      <c r="AR51" s="2923"/>
      <c r="AS51" s="2923"/>
      <c r="AT51" s="2923"/>
      <c r="AU51" s="2923"/>
      <c r="AV51" s="2923"/>
      <c r="AW51" s="2923"/>
      <c r="AX51" s="2923"/>
      <c r="AY51" s="2923"/>
      <c r="AZ51" s="2923"/>
      <c r="BA51" s="2923"/>
      <c r="BB51" s="2924"/>
      <c r="BC51" s="2011"/>
      <c r="BE51" s="1126"/>
      <c r="BF51" s="1126" t="str">
        <f>IF(T51="","",T51)</f>
        <v/>
      </c>
      <c r="BG51" s="1126"/>
      <c r="BH51" s="1126"/>
      <c r="BI51" s="1137">
        <v>0</v>
      </c>
    </row>
    <row customHeight="1" ht="11.549999999999999">
      <c r="A52" s="1989" t="s">
        <v>279</v>
      </c>
      <c r="B52" s="1989" t="s">
        <v>280</v>
      </c>
      <c r="C52" s="1989" t="s">
        <v>281</v>
      </c>
      <c r="D52" s="1989" t="s">
        <v>562</v>
      </c>
      <c r="E52" s="2885"/>
      <c r="F52" s="2885"/>
      <c r="G52" s="2885"/>
      <c r="H52" s="2885"/>
      <c r="I52" s="2912"/>
      <c r="J52" s="2912"/>
      <c r="K52" s="2882" t="str">
        <f>S48&amp;".1"</f>
        <v>...1</v>
      </c>
      <c r="L52" s="1990"/>
      <c r="P52" s="2883"/>
      <c r="Q52" s="2883"/>
      <c r="R52" s="983">
        <v>1</v>
      </c>
      <c r="S52" s="2967" t="str">
        <f>$K52</f>
        <v>...1</v>
      </c>
      <c r="T52" s="2986"/>
      <c r="U52" s="926"/>
      <c r="V52" s="1377"/>
      <c r="W52" s="1883"/>
      <c r="X52" s="1377"/>
      <c r="Y52" s="1883"/>
      <c r="Z52" s="2360"/>
      <c r="AA52" s="2095" t="s">
        <v>66</v>
      </c>
      <c r="AB52" s="2360"/>
      <c r="AC52" s="2095" t="s">
        <v>66</v>
      </c>
      <c r="AD52" s="2811" t="s">
        <v>66</v>
      </c>
      <c r="AE52" s="2952"/>
      <c r="AF52" s="2831">
        <v>1</v>
      </c>
      <c r="AG52" s="2989"/>
      <c r="AH52" s="2733" t="s">
        <v>66</v>
      </c>
      <c r="AI52" s="2952"/>
      <c r="AJ52" s="2831">
        <v>1</v>
      </c>
      <c r="AK52" s="2953" t="s">
        <v>22</v>
      </c>
      <c r="AL52" s="2733" t="s">
        <v>66</v>
      </c>
      <c r="AM52" s="2818"/>
      <c r="AN52" s="2831">
        <v>1</v>
      </c>
      <c r="AO52" s="2983"/>
      <c r="AP52" s="2984" t="s">
        <v>66</v>
      </c>
      <c r="AQ52" s="937"/>
      <c r="AR52" s="2112">
        <v>1</v>
      </c>
      <c r="AS52" s="2118" t="s">
        <v>22</v>
      </c>
      <c r="AT52" s="1377"/>
      <c r="AU52" s="1883"/>
      <c r="AV52" s="1377"/>
      <c r="AW52" s="1883"/>
      <c r="AX52" s="2360"/>
      <c r="AY52" s="2095" t="s">
        <v>66</v>
      </c>
      <c r="AZ52" s="2360"/>
      <c r="BA52" s="2095" t="s">
        <v>66</v>
      </c>
      <c r="BB52" s="1974"/>
      <c r="BC52" s="2879" t="s">
        <v>519</v>
      </c>
      <c r="BE52" s="1126"/>
      <c r="BF52" s="1126" t="str">
        <f>IF(T52="","",T52)</f>
        <v/>
      </c>
      <c r="BG52" s="1126"/>
      <c r="BH52" s="1126"/>
      <c r="BI52" s="1781">
        <v>11</v>
      </c>
    </row>
    <row customHeight="1" ht="11.549999999999999">
      <c r="A53" s="1989"/>
      <c r="B53" s="1989"/>
      <c r="C53" s="1989"/>
      <c r="D53" s="1989"/>
      <c r="E53" s="2885"/>
      <c r="F53" s="2885"/>
      <c r="G53" s="2885"/>
      <c r="H53" s="2885"/>
      <c r="I53" s="2912"/>
      <c r="J53" s="2912"/>
      <c r="K53" s="2882"/>
      <c r="L53" s="1990"/>
      <c r="P53" s="2883"/>
      <c r="Q53" s="2883"/>
      <c r="R53" s="983"/>
      <c r="S53" s="2968"/>
      <c r="T53" s="2987"/>
      <c r="U53" s="926"/>
      <c r="V53" s="2019"/>
      <c r="W53" s="2122"/>
      <c r="X53" s="2019"/>
      <c r="Y53" s="2122"/>
      <c r="Z53" s="2019"/>
      <c r="AA53" s="2019"/>
      <c r="AB53" s="2019"/>
      <c r="AC53" s="2019"/>
      <c r="AD53" s="2812"/>
      <c r="AE53" s="2952"/>
      <c r="AF53" s="2831"/>
      <c r="AG53" s="2989"/>
      <c r="AH53" s="2733"/>
      <c r="AI53" s="2952"/>
      <c r="AJ53" s="2831"/>
      <c r="AK53" s="2953"/>
      <c r="AL53" s="2733"/>
      <c r="AM53" s="2826"/>
      <c r="AN53" s="2831"/>
      <c r="AO53" s="2983"/>
      <c r="AP53" s="2985"/>
      <c r="AQ53" s="942"/>
      <c r="AR53" s="1042"/>
      <c r="AS53" s="1042" t="s">
        <v>520</v>
      </c>
      <c r="AT53" s="2019"/>
      <c r="AU53" s="2122"/>
      <c r="AV53" s="2019"/>
      <c r="AW53" s="2122"/>
      <c r="AX53" s="2019"/>
      <c r="AY53" s="2019"/>
      <c r="AZ53" s="2019"/>
      <c r="BA53" s="2019"/>
      <c r="BB53" s="2023"/>
      <c r="BC53" s="2880"/>
      <c r="BE53" s="1126"/>
      <c r="BF53" s="1126"/>
      <c r="BG53" s="1126"/>
      <c r="BH53" s="1126"/>
      <c r="BI53" s="1781">
        <v>11</v>
      </c>
    </row>
    <row customHeight="1" ht="11.549999999999999">
      <c r="A54" s="1989" t="s">
        <v>279</v>
      </c>
      <c r="B54" s="1989"/>
      <c r="C54" s="1989"/>
      <c r="D54" s="1989"/>
      <c r="E54" s="2885"/>
      <c r="F54" s="2885"/>
      <c r="G54" s="2885"/>
      <c r="H54" s="2885"/>
      <c r="I54" s="2912"/>
      <c r="J54" s="2912"/>
      <c r="K54" s="2882"/>
      <c r="L54" s="1990"/>
      <c r="P54" s="2883"/>
      <c r="Q54" s="2883"/>
      <c r="R54" s="983"/>
      <c r="S54" s="2968"/>
      <c r="T54" s="2987"/>
      <c r="U54" s="926"/>
      <c r="V54" s="2019"/>
      <c r="W54" s="2122"/>
      <c r="X54" s="2019"/>
      <c r="Y54" s="2122"/>
      <c r="Z54" s="2019"/>
      <c r="AA54" s="2019"/>
      <c r="AB54" s="2019"/>
      <c r="AC54" s="2019"/>
      <c r="AD54" s="2812"/>
      <c r="AE54" s="2952"/>
      <c r="AF54" s="2831"/>
      <c r="AG54" s="2989"/>
      <c r="AH54" s="2733"/>
      <c r="AI54" s="2952"/>
      <c r="AJ54" s="2831"/>
      <c r="AK54" s="2953"/>
      <c r="AL54" s="2733"/>
      <c r="AM54" s="942"/>
      <c r="AN54" s="2126"/>
      <c r="AO54" s="2126" t="s">
        <v>521</v>
      </c>
      <c r="AP54" s="1042"/>
      <c r="AQ54" s="1042"/>
      <c r="AR54" s="1042"/>
      <c r="AS54" s="2019"/>
      <c r="AT54" s="2019"/>
      <c r="AU54" s="2122"/>
      <c r="AV54" s="2019"/>
      <c r="AW54" s="2122"/>
      <c r="AX54" s="2019"/>
      <c r="AY54" s="2019"/>
      <c r="AZ54" s="2019"/>
      <c r="BA54" s="2019"/>
      <c r="BB54" s="2023"/>
      <c r="BC54" s="2880"/>
      <c r="BE54" s="1126"/>
      <c r="BF54" s="1126"/>
      <c r="BG54" s="1126"/>
      <c r="BH54" s="1126"/>
      <c r="BI54" s="1781">
        <v>11</v>
      </c>
    </row>
    <row customHeight="1" ht="11.549999999999999">
      <c r="A55" s="1989" t="s">
        <v>279</v>
      </c>
      <c r="B55" s="1989"/>
      <c r="C55" s="1989"/>
      <c r="D55" s="1989"/>
      <c r="E55" s="2885"/>
      <c r="F55" s="2885"/>
      <c r="G55" s="2885"/>
      <c r="H55" s="2885"/>
      <c r="I55" s="2912"/>
      <c r="J55" s="2912"/>
      <c r="K55" s="2882"/>
      <c r="L55" s="1990"/>
      <c r="P55" s="2883"/>
      <c r="Q55" s="2883"/>
      <c r="R55" s="983"/>
      <c r="S55" s="2968"/>
      <c r="T55" s="2987"/>
      <c r="U55" s="926"/>
      <c r="V55" s="2019"/>
      <c r="W55" s="2122"/>
      <c r="X55" s="2019"/>
      <c r="Y55" s="2122"/>
      <c r="Z55" s="2019"/>
      <c r="AA55" s="2019"/>
      <c r="AB55" s="2019"/>
      <c r="AC55" s="2019"/>
      <c r="AD55" s="2812"/>
      <c r="AE55" s="2952"/>
      <c r="AF55" s="2831"/>
      <c r="AG55" s="2989"/>
      <c r="AH55" s="2733"/>
      <c r="AI55" s="920"/>
      <c r="AJ55" s="1041"/>
      <c r="AK55" s="939" t="s">
        <v>522</v>
      </c>
      <c r="AL55" s="2019"/>
      <c r="AM55" s="2019"/>
      <c r="AN55" s="2019"/>
      <c r="AO55" s="2019"/>
      <c r="AP55" s="2019"/>
      <c r="AQ55" s="2019"/>
      <c r="AR55" s="2019"/>
      <c r="AS55" s="2019"/>
      <c r="AT55" s="2019"/>
      <c r="AU55" s="2122"/>
      <c r="AV55" s="2019"/>
      <c r="AW55" s="2122"/>
      <c r="AX55" s="2019"/>
      <c r="AY55" s="2019"/>
      <c r="AZ55" s="2019"/>
      <c r="BA55" s="2019"/>
      <c r="BB55" s="2023"/>
      <c r="BC55" s="2880"/>
      <c r="BE55" s="1126"/>
      <c r="BF55" s="1126"/>
      <c r="BG55" s="1126"/>
      <c r="BH55" s="1126"/>
      <c r="BI55" s="1781">
        <v>11</v>
      </c>
    </row>
    <row customHeight="1" ht="11.549999999999999">
      <c r="A56" s="1989" t="s">
        <v>279</v>
      </c>
      <c r="B56" s="1989" t="s">
        <v>280</v>
      </c>
      <c r="C56" s="1989" t="s">
        <v>281</v>
      </c>
      <c r="D56" s="1989" t="s">
        <v>562</v>
      </c>
      <c r="E56" s="2885"/>
      <c r="F56" s="2885"/>
      <c r="G56" s="2885"/>
      <c r="H56" s="2885"/>
      <c r="I56" s="2912"/>
      <c r="J56" s="2912"/>
      <c r="K56" s="2882"/>
      <c r="L56" s="1990"/>
      <c r="P56" s="2883"/>
      <c r="Q56" s="2883"/>
      <c r="R56" s="983"/>
      <c r="S56" s="2969"/>
      <c r="T56" s="2988"/>
      <c r="U56" s="926"/>
      <c r="V56" s="2019"/>
      <c r="W56" s="2020" t="str">
        <f>Z52&amp;"-"&amp;AB52</f>
        <v>-</v>
      </c>
      <c r="X56" s="2019"/>
      <c r="Y56" s="2020" t="str">
        <f>AB52&amp;"-"&amp;AD52</f>
        <v>-да</v>
      </c>
      <c r="Z56" s="2019"/>
      <c r="AA56" s="2019"/>
      <c r="AB56" s="2019"/>
      <c r="AC56" s="2019"/>
      <c r="AD56" s="2738"/>
      <c r="AE56" s="938"/>
      <c r="AF56" s="940"/>
      <c r="AG56" s="1042" t="s">
        <v>523</v>
      </c>
      <c r="AH56" s="2019"/>
      <c r="AI56" s="2019"/>
      <c r="AJ56" s="2019"/>
      <c r="AK56" s="2019"/>
      <c r="AL56" s="2019"/>
      <c r="AM56" s="2019"/>
      <c r="AN56" s="2019"/>
      <c r="AO56" s="2019"/>
      <c r="AP56" s="2019"/>
      <c r="AQ56" s="2019"/>
      <c r="AR56" s="2019"/>
      <c r="AS56" s="2019"/>
      <c r="AT56" s="2019"/>
      <c r="AU56" s="2020" t="str">
        <f>AX52&amp;"-"&amp;AZ52</f>
        <v>-</v>
      </c>
      <c r="AV56" s="2019"/>
      <c r="AW56" s="2020" t="str">
        <f>AZ52&amp;"-"&amp;BB52</f>
        <v>-</v>
      </c>
      <c r="AX56" s="2019"/>
      <c r="AY56" s="2019"/>
      <c r="AZ56" s="2019"/>
      <c r="BA56" s="2019"/>
      <c r="BB56" s="2022" t="str">
        <f>BE52&amp;"-"&amp;BG52</f>
        <v>-</v>
      </c>
      <c r="BC56" s="2880"/>
      <c r="BE56" s="1126"/>
      <c r="BF56" s="1126" t="str">
        <f>IF(T56="","",T56)</f>
        <v/>
      </c>
      <c r="BG56" s="1126"/>
      <c r="BH56" s="1126"/>
      <c r="BI56" s="1781">
        <v>11</v>
      </c>
    </row>
    <row customHeight="1" ht="11.549999999999999">
      <c r="A57" s="1989" t="s">
        <v>279</v>
      </c>
      <c r="B57" s="1989" t="s">
        <v>280</v>
      </c>
      <c r="C57" s="1989" t="s">
        <v>281</v>
      </c>
      <c r="D57" s="1989" t="s">
        <v>562</v>
      </c>
      <c r="E57" s="2885"/>
      <c r="F57" s="2885"/>
      <c r="G57" s="2885"/>
      <c r="H57" s="2885"/>
      <c r="I57" s="2912"/>
      <c r="J57" s="2882"/>
      <c r="K57" s="1989"/>
      <c r="L57" s="1990"/>
      <c r="P57" s="2883"/>
      <c r="Q57" s="2883"/>
      <c r="R57" s="982"/>
      <c r="S57" s="1904"/>
      <c r="T57" s="913" t="s">
        <v>486</v>
      </c>
      <c r="U57" s="993"/>
      <c r="V57" s="993"/>
      <c r="W57" s="993"/>
      <c r="X57" s="993"/>
      <c r="Y57" s="993"/>
      <c r="Z57" s="993"/>
      <c r="AA57" s="993"/>
      <c r="AB57" s="993"/>
      <c r="AC57" s="950"/>
      <c r="AD57" s="2131"/>
      <c r="AE57" s="993"/>
      <c r="AF57" s="993"/>
      <c r="AG57" s="993"/>
      <c r="AH57" s="993"/>
      <c r="AI57" s="993"/>
      <c r="AJ57" s="993"/>
      <c r="AK57" s="993"/>
      <c r="AL57" s="993"/>
      <c r="AM57" s="993"/>
      <c r="AN57" s="993"/>
      <c r="AO57" s="993"/>
      <c r="AP57" s="993"/>
      <c r="AQ57" s="993"/>
      <c r="AR57" s="993"/>
      <c r="AS57" s="993"/>
      <c r="AT57" s="993"/>
      <c r="AU57" s="993"/>
      <c r="AV57" s="993"/>
      <c r="AW57" s="993"/>
      <c r="AX57" s="993"/>
      <c r="AY57" s="993"/>
      <c r="AZ57" s="993"/>
      <c r="BA57" s="993"/>
      <c r="BB57" s="950"/>
      <c r="BC57" s="2881"/>
      <c r="BE57" s="1126"/>
      <c r="BF57" s="1126" t="str">
        <f>IF(T57="","",T57)</f>
        <v>Добавить строку</v>
      </c>
      <c r="BG57" s="1126"/>
      <c r="BH57" s="1126"/>
      <c r="BI57" s="1781">
        <v>11</v>
      </c>
    </row>
    <row s="34658" customFormat="1" customHeight="1" ht="0">
      <c r="A58" s="1969" t="s">
        <v>279</v>
      </c>
      <c r="B58" s="1969" t="s">
        <v>280</v>
      </c>
      <c r="C58" s="1969" t="s">
        <v>281</v>
      </c>
      <c r="D58" s="1969" t="s">
        <v>562</v>
      </c>
      <c r="E58" s="2885"/>
      <c r="F58" s="2885"/>
      <c r="G58" s="2885"/>
      <c r="H58" s="2885"/>
      <c r="I58" s="2882"/>
      <c r="J58" s="1969"/>
      <c r="K58" s="1969"/>
      <c r="L58" s="1972"/>
      <c r="M58" s="1136"/>
      <c r="N58" s="1136"/>
      <c r="O58" s="1136"/>
      <c r="P58" s="2883"/>
      <c r="Q58" s="2107"/>
      <c r="R58" s="982"/>
      <c r="S58" s="2012"/>
      <c r="T58" s="2013"/>
      <c r="U58" s="2014"/>
      <c r="V58" s="2014"/>
      <c r="W58" s="2014"/>
      <c r="X58" s="2014"/>
      <c r="Y58" s="2014"/>
      <c r="Z58" s="2014"/>
      <c r="AA58" s="2014"/>
      <c r="AB58" s="2014"/>
      <c r="AC58" s="2014"/>
      <c r="AD58" s="2014"/>
      <c r="AE58" s="2014"/>
      <c r="AF58" s="2014"/>
      <c r="AG58" s="2014"/>
      <c r="AH58" s="2014"/>
      <c r="AI58" s="2014"/>
      <c r="AJ58" s="2014"/>
      <c r="AK58" s="2014"/>
      <c r="AL58" s="2014"/>
      <c r="AM58" s="2014"/>
      <c r="AN58" s="2014"/>
      <c r="AO58" s="2014"/>
      <c r="AP58" s="2014"/>
      <c r="AQ58" s="2014"/>
      <c r="AR58" s="2014"/>
      <c r="AS58" s="2014"/>
      <c r="AT58" s="2014"/>
      <c r="AU58" s="2014"/>
      <c r="AV58" s="2014"/>
      <c r="AW58" s="2014"/>
      <c r="AX58" s="2014"/>
      <c r="AY58" s="2014"/>
      <c r="AZ58" s="2014"/>
      <c r="BA58" s="2014"/>
      <c r="BB58" s="2014"/>
      <c r="BC58" s="2015"/>
      <c r="BE58" s="1126"/>
      <c r="BF58" s="1126" t="str">
        <f>IF(T58="","",T58)</f>
        <v/>
      </c>
      <c r="BG58" s="1126"/>
      <c r="BH58" s="1126"/>
      <c r="BI58" s="1137">
        <v>0</v>
      </c>
    </row>
    <row s="34658" customFormat="1" customHeight="1" ht="0">
      <c r="A59" s="1969" t="s">
        <v>279</v>
      </c>
      <c r="B59" s="1969" t="s">
        <v>280</v>
      </c>
      <c r="C59" s="1969" t="s">
        <v>281</v>
      </c>
      <c r="D59" s="1969" t="s">
        <v>562</v>
      </c>
      <c r="E59" s="2885"/>
      <c r="F59" s="2885"/>
      <c r="G59" s="2885"/>
      <c r="H59" s="2884"/>
      <c r="I59" s="1969"/>
      <c r="J59" s="1969"/>
      <c r="K59" s="1969"/>
      <c r="L59" s="1972"/>
      <c r="M59" s="1941"/>
      <c r="N59" s="1941"/>
      <c r="O59" s="1144"/>
      <c r="P59" s="1006"/>
      <c r="Q59" s="1970"/>
      <c r="R59" s="2027"/>
      <c r="S59" s="2012"/>
      <c r="T59" s="2013"/>
      <c r="U59" s="2014"/>
      <c r="V59" s="2014"/>
      <c r="W59" s="2014"/>
      <c r="X59" s="2014"/>
      <c r="Y59" s="2014"/>
      <c r="Z59" s="2014"/>
      <c r="AA59" s="2014"/>
      <c r="AB59" s="2014"/>
      <c r="AC59" s="2014"/>
      <c r="AD59" s="2014"/>
      <c r="AE59" s="2014"/>
      <c r="AF59" s="2014"/>
      <c r="AG59" s="2014"/>
      <c r="AH59" s="2014"/>
      <c r="AI59" s="2014"/>
      <c r="AJ59" s="2014"/>
      <c r="AK59" s="2014"/>
      <c r="AL59" s="2014"/>
      <c r="AM59" s="2014"/>
      <c r="AN59" s="2014"/>
      <c r="AO59" s="2014"/>
      <c r="AP59" s="2014"/>
      <c r="AQ59" s="2014"/>
      <c r="AR59" s="2014"/>
      <c r="AS59" s="2014"/>
      <c r="AT59" s="2014"/>
      <c r="AU59" s="2014"/>
      <c r="AV59" s="2014"/>
      <c r="AW59" s="2014"/>
      <c r="AX59" s="2014"/>
      <c r="AY59" s="2014"/>
      <c r="AZ59" s="2014"/>
      <c r="BA59" s="2014"/>
      <c r="BB59" s="2014"/>
      <c r="BC59" s="2015"/>
      <c r="BE59" s="1126"/>
      <c r="BF59" s="1126" t="str">
        <f>IF(T59="","",T59)</f>
        <v/>
      </c>
      <c r="BG59" s="1126"/>
      <c r="BH59" s="1126"/>
      <c r="BI59" s="1137">
        <v>0</v>
      </c>
    </row>
    <row s="34658" customFormat="1" customHeight="1" ht="0">
      <c r="A60" s="1969" t="s">
        <v>279</v>
      </c>
      <c r="B60" s="1969" t="s">
        <v>280</v>
      </c>
      <c r="C60" s="1969" t="s">
        <v>281</v>
      </c>
      <c r="D60" s="1940"/>
      <c r="E60" s="2885"/>
      <c r="F60" s="2885"/>
      <c r="G60" s="2884"/>
      <c r="H60" s="1940"/>
      <c r="I60" s="1940"/>
      <c r="J60" s="1940"/>
      <c r="K60" s="1940"/>
      <c r="L60" s="2120"/>
      <c r="M60" s="1941"/>
      <c r="N60" s="1941"/>
      <c r="P60" s="1942"/>
      <c r="Q60" s="1943"/>
      <c r="R60" s="1942"/>
      <c r="S60" s="1948"/>
      <c r="T60" s="1951"/>
      <c r="U60" s="1950"/>
      <c r="V60" s="1950"/>
      <c r="W60" s="1950"/>
      <c r="X60" s="1950"/>
      <c r="Y60" s="1950"/>
      <c r="Z60" s="1950"/>
      <c r="AA60" s="1950"/>
      <c r="AB60" s="1950"/>
      <c r="AC60" s="1950"/>
      <c r="AD60" s="1950"/>
      <c r="AE60" s="1950"/>
      <c r="AF60" s="1950"/>
      <c r="AG60" s="1950"/>
      <c r="AH60" s="1950"/>
      <c r="AI60" s="1950"/>
      <c r="AJ60" s="1950"/>
      <c r="AK60" s="1950"/>
      <c r="AL60" s="1950"/>
      <c r="AM60" s="1950"/>
      <c r="AN60" s="1950"/>
      <c r="AO60" s="1950"/>
      <c r="AP60" s="1950"/>
      <c r="AQ60" s="1950"/>
      <c r="AR60" s="1950"/>
      <c r="AS60" s="1950"/>
      <c r="AT60" s="1950"/>
      <c r="AU60" s="1950"/>
      <c r="AV60" s="1950"/>
      <c r="AW60" s="1950"/>
      <c r="AX60" s="1950"/>
      <c r="AY60" s="1950"/>
      <c r="AZ60" s="1950"/>
      <c r="BA60" s="1950"/>
      <c r="BB60" s="1950"/>
      <c r="BC60" s="1950"/>
      <c r="BE60" s="1415"/>
      <c r="BF60" s="1415" t="str">
        <f>IF(T60="","",T60)</f>
        <v/>
      </c>
      <c r="BG60" s="1415"/>
      <c r="BH60" s="1415"/>
      <c r="BI60" s="1144">
        <v>0</v>
      </c>
    </row>
    <row s="34658" customFormat="1" customHeight="1" ht="0">
      <c r="A61" s="1969" t="s">
        <v>279</v>
      </c>
      <c r="B61" s="1969" t="s">
        <v>280</v>
      </c>
      <c r="C61" s="1940"/>
      <c r="D61" s="1940"/>
      <c r="E61" s="2885"/>
      <c r="F61" s="2884"/>
      <c r="G61" s="1940"/>
      <c r="H61" s="1940"/>
      <c r="I61" s="1940"/>
      <c r="J61" s="1940"/>
      <c r="K61" s="1940"/>
      <c r="L61" s="2120"/>
      <c r="M61" s="1947"/>
      <c r="N61" s="1947"/>
      <c r="P61" s="1942"/>
      <c r="Q61" s="1943"/>
      <c r="R61" s="1942"/>
      <c r="S61" s="1948"/>
      <c r="T61" s="1951" t="s">
        <v>433</v>
      </c>
      <c r="U61" s="1950"/>
      <c r="V61" s="1950"/>
      <c r="W61" s="1950"/>
      <c r="X61" s="1950"/>
      <c r="Y61" s="1950"/>
      <c r="Z61" s="1950"/>
      <c r="AA61" s="1950"/>
      <c r="AB61" s="1950"/>
      <c r="AC61" s="1950"/>
      <c r="AD61" s="1950"/>
      <c r="AE61" s="1950"/>
      <c r="AF61" s="1950"/>
      <c r="AG61" s="1950"/>
      <c r="AH61" s="1950"/>
      <c r="AI61" s="1950"/>
      <c r="AJ61" s="1950"/>
      <c r="AK61" s="1950"/>
      <c r="AL61" s="1950"/>
      <c r="AM61" s="1950"/>
      <c r="AN61" s="1950"/>
      <c r="AO61" s="1950"/>
      <c r="AP61" s="1950"/>
      <c r="AQ61" s="1950"/>
      <c r="AR61" s="1950"/>
      <c r="AS61" s="1950"/>
      <c r="AT61" s="1950"/>
      <c r="AU61" s="1950"/>
      <c r="AV61" s="1950"/>
      <c r="AW61" s="1950"/>
      <c r="AX61" s="1950"/>
      <c r="AY61" s="1950"/>
      <c r="AZ61" s="1950"/>
      <c r="BA61" s="1950"/>
      <c r="BB61" s="1950"/>
      <c r="BC61" s="1950"/>
      <c r="BE61" s="1415"/>
      <c r="BF61" s="1415" t="str">
        <f>IF(T61="","",T61)</f>
        <v>Добавить централизованную систему для дифференциации</v>
      </c>
      <c r="BG61" s="1415"/>
      <c r="BH61" s="1415"/>
      <c r="BI61" s="1144">
        <v>0</v>
      </c>
    </row>
    <row s="34658" customFormat="1" customHeight="1" ht="0">
      <c r="A62" s="1969" t="s">
        <v>279</v>
      </c>
      <c r="B62" s="1969"/>
      <c r="C62" s="1969"/>
      <c r="D62" s="1969"/>
      <c r="E62" s="2884"/>
      <c r="F62" s="1969"/>
      <c r="G62" s="1969"/>
      <c r="H62" s="1969"/>
      <c r="I62" s="1969"/>
      <c r="J62" s="1969"/>
      <c r="K62" s="1969"/>
      <c r="L62" s="1972"/>
      <c r="M62" s="1947"/>
      <c r="N62" s="1947"/>
      <c r="O62" s="1144"/>
      <c r="P62" s="1006"/>
      <c r="Q62" s="1970"/>
      <c r="R62" s="1006"/>
      <c r="S62" s="1948"/>
      <c r="T62" s="1951" t="s">
        <v>434</v>
      </c>
      <c r="U62" s="1950"/>
      <c r="V62" s="1950"/>
      <c r="W62" s="1950"/>
      <c r="X62" s="1950"/>
      <c r="Y62" s="1950"/>
      <c r="Z62" s="1950"/>
      <c r="AA62" s="1950"/>
      <c r="AB62" s="1950"/>
      <c r="AC62" s="1950"/>
      <c r="AD62" s="1950"/>
      <c r="AE62" s="1950"/>
      <c r="AF62" s="1950"/>
      <c r="AG62" s="1950"/>
      <c r="AH62" s="1950"/>
      <c r="AI62" s="1950"/>
      <c r="AJ62" s="1950"/>
      <c r="AK62" s="1950"/>
      <c r="AL62" s="1950"/>
      <c r="AM62" s="1950"/>
      <c r="AN62" s="1950"/>
      <c r="AO62" s="1950"/>
      <c r="AP62" s="1950"/>
      <c r="AQ62" s="1950"/>
      <c r="AR62" s="1950"/>
      <c r="AS62" s="1950"/>
      <c r="AT62" s="1950"/>
      <c r="AU62" s="1950"/>
      <c r="AV62" s="1950"/>
      <c r="AW62" s="1950"/>
      <c r="AX62" s="1950"/>
      <c r="AY62" s="1950"/>
      <c r="AZ62" s="1950"/>
      <c r="BA62" s="1950"/>
      <c r="BB62" s="1950"/>
      <c r="BC62" s="1950"/>
      <c r="BE62" s="1126"/>
      <c r="BF62" s="1126" t="str">
        <f>IF(T62="","",T62)</f>
        <v>Добавить территорию для дифференциации</v>
      </c>
      <c r="BG62" s="1126"/>
      <c r="BH62" s="1126"/>
      <c r="BI62" s="1137">
        <v>0</v>
      </c>
    </row>
    <row s="34658" customFormat="1" customHeight="1" ht="0">
      <c r="A63" s="1940"/>
      <c r="B63" s="1940"/>
      <c r="C63" s="1940"/>
      <c r="D63" s="1940"/>
      <c r="E63" s="1969"/>
      <c r="F63" s="1940"/>
      <c r="G63" s="1940"/>
      <c r="H63" s="1940"/>
      <c r="I63" s="1940"/>
      <c r="J63" s="1940"/>
      <c r="K63" s="1940"/>
      <c r="L63" s="2120"/>
      <c r="M63" s="1947"/>
      <c r="N63" s="1947"/>
      <c r="P63" s="1942"/>
      <c r="Q63" s="1943"/>
      <c r="R63" s="1942"/>
      <c r="S63" s="1948"/>
      <c r="T63" s="1951" t="s">
        <v>466</v>
      </c>
      <c r="U63" s="1950"/>
      <c r="V63" s="1950"/>
      <c r="W63" s="1950"/>
      <c r="X63" s="1950"/>
      <c r="Y63" s="1950"/>
      <c r="Z63" s="1950"/>
      <c r="AA63" s="1950"/>
      <c r="AB63" s="1950"/>
      <c r="AC63" s="1950"/>
      <c r="AD63" s="1950"/>
      <c r="AE63" s="1950"/>
      <c r="AF63" s="1950"/>
      <c r="AG63" s="1950"/>
      <c r="AH63" s="1950"/>
      <c r="AI63" s="1950"/>
      <c r="AJ63" s="1950"/>
      <c r="AK63" s="1950"/>
      <c r="AL63" s="1950"/>
      <c r="AM63" s="1950"/>
      <c r="AN63" s="1950"/>
      <c r="AO63" s="1950"/>
      <c r="AP63" s="1950"/>
      <c r="AQ63" s="1950"/>
      <c r="AR63" s="1950"/>
      <c r="AS63" s="1950"/>
      <c r="AT63" s="1950"/>
      <c r="AU63" s="1950"/>
      <c r="AV63" s="1950"/>
      <c r="AW63" s="1950"/>
      <c r="AX63" s="1950"/>
      <c r="AY63" s="1950"/>
      <c r="AZ63" s="1950"/>
      <c r="BA63" s="1950"/>
      <c r="BB63" s="1950"/>
      <c r="BC63" s="1950"/>
      <c r="BE63" s="1415"/>
      <c r="BF63" s="1415" t="str">
        <f>IF(T63="","",T63)</f>
        <v>Добавить наименование тарифа</v>
      </c>
      <c r="BG63" s="1415"/>
      <c r="BH63" s="1415"/>
      <c r="BI63" s="1144">
        <v>0</v>
      </c>
    </row>
    <row customHeight="1" ht="11.549999999999999">
      <c r="M64" s="1786"/>
      <c r="N64" s="1786"/>
      <c r="O64" s="1163"/>
      <c r="P64" s="1786"/>
      <c r="Q64" s="1786"/>
      <c r="R64" s="1781"/>
      <c r="S64" s="1781"/>
      <c r="BD64" s="1781"/>
      <c r="BE64" s="1781"/>
      <c r="BF64" s="1781"/>
      <c r="BG64" s="1781"/>
      <c r="BH64" s="1781"/>
      <c r="BI64" s="1781">
        <v>11</v>
      </c>
    </row>
    <row customHeight="1" ht="19.95">
      <c r="O65" s="1163"/>
      <c r="S65" s="1879"/>
      <c r="T65" s="2911"/>
      <c r="U65" s="2911"/>
      <c r="V65" s="2911"/>
      <c r="W65" s="2911"/>
      <c r="X65" s="2911"/>
      <c r="Y65" s="2911"/>
      <c r="Z65" s="2911"/>
      <c r="AA65" s="2911"/>
      <c r="AB65" s="2911"/>
      <c r="AC65" s="2911"/>
      <c r="AD65" s="2911"/>
      <c r="AE65" s="2911"/>
      <c r="AF65" s="2911"/>
      <c r="AG65" s="2911"/>
      <c r="AH65" s="2911"/>
      <c r="AI65" s="2911"/>
      <c r="AJ65" s="2911"/>
      <c r="AK65" s="2911"/>
      <c r="AL65" s="2911"/>
      <c r="AM65" s="2911"/>
      <c r="AN65" s="2911"/>
      <c r="AO65" s="2911"/>
      <c r="AP65" s="2911"/>
      <c r="AQ65" s="2911"/>
      <c r="AR65" s="2911"/>
      <c r="AS65" s="2911"/>
      <c r="AT65" s="2911"/>
      <c r="AU65" s="2911"/>
      <c r="AV65" s="2911"/>
      <c r="AW65" s="2911"/>
      <c r="AX65" s="2911"/>
      <c r="AY65" s="2911"/>
      <c r="AZ65" s="2911"/>
      <c r="BA65" s="2911"/>
      <c r="BB65" s="2911"/>
      <c r="BC65" s="2911"/>
      <c r="BI65" s="1781">
        <v>19</v>
      </c>
    </row>
    <row customHeight="1" ht="14.699999999999998">
      <c r="O66" s="1163"/>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c r="AS66" s="2106"/>
      <c r="AT66" s="2106"/>
      <c r="AU66" s="2106"/>
      <c r="AV66" s="2106"/>
      <c r="AW66" s="2106"/>
      <c r="AX66" s="2106"/>
      <c r="AY66" s="2106"/>
      <c r="AZ66" s="2106"/>
      <c r="BA66" s="2106"/>
      <c r="BB66" s="2106"/>
      <c r="BC66" s="2106"/>
      <c r="BI66" s="1781">
        <v>14</v>
      </c>
    </row>
    <row customHeight="1" ht="19.95">
      <c r="O67" s="1163"/>
      <c r="S67" s="1879"/>
      <c r="T67" s="2911"/>
      <c r="U67" s="2911"/>
      <c r="V67" s="2911"/>
      <c r="W67" s="2911"/>
      <c r="X67" s="2911"/>
      <c r="Y67" s="2911"/>
      <c r="Z67" s="2911"/>
      <c r="AA67" s="2911"/>
      <c r="AB67" s="2911"/>
      <c r="AC67" s="2911"/>
      <c r="AD67" s="2911"/>
      <c r="AE67" s="2911"/>
      <c r="AF67" s="2911"/>
      <c r="AG67" s="2911"/>
      <c r="AH67" s="2911"/>
      <c r="AI67" s="2911"/>
      <c r="AJ67" s="2911"/>
      <c r="AK67" s="2911"/>
      <c r="AL67" s="2911"/>
      <c r="AM67" s="2911"/>
      <c r="AN67" s="2911"/>
      <c r="AO67" s="2911"/>
      <c r="AP67" s="2911"/>
      <c r="AQ67" s="2911"/>
      <c r="AR67" s="2911"/>
      <c r="AS67" s="2911"/>
      <c r="AT67" s="2911"/>
      <c r="AU67" s="2911"/>
      <c r="AV67" s="2911"/>
      <c r="AW67" s="2911"/>
      <c r="AX67" s="2911"/>
      <c r="AY67" s="2911"/>
      <c r="AZ67" s="2911"/>
      <c r="BA67" s="2911"/>
      <c r="BB67" s="2911"/>
      <c r="BC67" s="2911"/>
      <c r="BI67" s="1781">
        <v>19</v>
      </c>
    </row>
    <row customHeight="1" ht="14.699999999999998">
      <c r="O68" s="1163"/>
      <c r="BI68" s="1781">
        <v>14</v>
      </c>
    </row>
    <row customHeight="1" ht="14.25" hidden="1">
      <c r="A69" s="1786" t="s">
        <v>82</v>
      </c>
      <c r="B69" s="1786">
        <v>0</v>
      </c>
      <c r="C69" s="1786">
        <v>0</v>
      </c>
      <c r="D69" s="1786">
        <v>0</v>
      </c>
      <c r="E69" s="1786">
        <v>0</v>
      </c>
      <c r="F69" s="1786">
        <v>0</v>
      </c>
      <c r="G69" s="1786">
        <v>0</v>
      </c>
      <c r="H69" s="1786">
        <v>0</v>
      </c>
      <c r="I69" s="1786">
        <v>0</v>
      </c>
      <c r="J69" s="1786">
        <v>0</v>
      </c>
      <c r="K69" s="1786">
        <v>0</v>
      </c>
      <c r="L69" s="2104">
        <v>0</v>
      </c>
      <c r="M69" s="1988">
        <v>0</v>
      </c>
      <c r="N69" s="1988">
        <v>0</v>
      </c>
      <c r="O69" s="1988">
        <v>0</v>
      </c>
      <c r="P69" s="1988">
        <v>0</v>
      </c>
      <c r="Q69" s="1997">
        <v>0</v>
      </c>
      <c r="R69" s="970">
        <v>3</v>
      </c>
      <c r="S69" s="1207">
        <v>12</v>
      </c>
      <c r="T69" s="1781">
        <v>31</v>
      </c>
      <c r="U69" s="1781">
        <v>0</v>
      </c>
      <c r="V69" s="1781">
        <v>0</v>
      </c>
      <c r="W69" s="1781">
        <v>0</v>
      </c>
      <c r="X69" s="1781">
        <v>0</v>
      </c>
      <c r="Y69" s="1781">
        <v>0</v>
      </c>
      <c r="Z69" s="1781">
        <v>0</v>
      </c>
      <c r="AA69" s="1781">
        <v>0</v>
      </c>
      <c r="AB69" s="1781">
        <v>0</v>
      </c>
      <c r="AC69" s="1781">
        <v>0</v>
      </c>
      <c r="AD69" s="1781">
        <v>3</v>
      </c>
      <c r="AE69" s="1781">
        <v>3</v>
      </c>
      <c r="AF69" s="1781">
        <v>3</v>
      </c>
      <c r="AG69" s="1781">
        <v>24</v>
      </c>
      <c r="AH69" s="1781">
        <v>3</v>
      </c>
      <c r="AI69" s="1781">
        <v>3</v>
      </c>
      <c r="AJ69" s="1781">
        <v>3</v>
      </c>
      <c r="AK69" s="1781">
        <v>24</v>
      </c>
      <c r="AL69" s="1781">
        <v>3</v>
      </c>
      <c r="AM69" s="1781">
        <v>3</v>
      </c>
      <c r="AN69" s="1781">
        <v>3</v>
      </c>
      <c r="AO69" s="1781">
        <v>18</v>
      </c>
      <c r="AP69" s="1781">
        <v>3</v>
      </c>
      <c r="AQ69" s="1781">
        <v>3</v>
      </c>
      <c r="AR69" s="1781">
        <v>3</v>
      </c>
      <c r="AS69" s="1781">
        <v>18</v>
      </c>
      <c r="AT69" s="1781">
        <v>21</v>
      </c>
      <c r="AU69" s="1781">
        <v>21</v>
      </c>
      <c r="AV69" s="1781">
        <v>21</v>
      </c>
      <c r="AW69" s="1781">
        <v>21</v>
      </c>
      <c r="AX69" s="1781">
        <v>11</v>
      </c>
      <c r="AY69" s="1781">
        <v>3</v>
      </c>
      <c r="AZ69" s="1781">
        <v>11</v>
      </c>
      <c r="BA69" s="1781">
        <v>0</v>
      </c>
      <c r="BB69" s="1781">
        <v>4</v>
      </c>
      <c r="BC69" s="1781">
        <v>115</v>
      </c>
      <c r="BD69" s="1137">
        <v>10</v>
      </c>
      <c r="BE69" s="1137">
        <v>10</v>
      </c>
      <c r="BF69" s="1137">
        <v>10</v>
      </c>
      <c r="BG69" s="1137">
        <v>10</v>
      </c>
      <c r="BH69" s="1137">
        <v>10</v>
      </c>
      <c r="BI69" s="1781">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0E1F61-B877-1C79-8F67-C83FE4B5A9BB}" mc:Ignorable="x14ac xr xr2 xr3">
  <sheetPr>
    <tabColor theme="9" tint="-0.25"/>
  </sheetPr>
  <dimension ref="A1:AJ303"/>
  <sheetViews>
    <sheetView showGridLines="0" zoomScale="90" workbookViewId="0">
      <pane xSplit="8" ySplit="29" topLeftCell="I30" activePane="bottomRight" state="frozen"/>
      <selection pane="bottomLeft" activeCell="A30" sqref="A30"/>
      <selection pane="topRight" activeCell="I1" sqref="I1"/>
      <selection pane="bottomRight" activeCell="M24" sqref="M24"/>
    </sheetView>
  </sheetViews>
  <sheetFormatPr defaultColWidth="9.140625" customHeight="1" defaultRowHeight="11.25"/>
  <cols>
    <col min="1" max="1" style="35916" width="10.7109375" hidden="1" customWidth="1"/>
    <col min="2" max="2" style="34657" width="16.8515625" hidden="1" customWidth="1"/>
    <col min="3" max="3" style="34658" width="5.57421875" hidden="1" customWidth="1"/>
    <col min="4" max="4" style="34580" width="3.00390625" customWidth="1"/>
    <col min="5" max="5" style="34580" width="7.00390625" customWidth="1"/>
    <col min="6" max="6" style="34580" width="54.00390625" customWidth="1"/>
    <col min="7" max="7" style="34580" width="10.00390625" customWidth="1"/>
    <col min="8" max="8" style="34580" width="40.7109375" hidden="1" customWidth="1"/>
    <col min="9" max="9" style="34580" width="40.7109375" customWidth="1"/>
    <col min="10" max="13" style="35917" width="40.7109375" customWidth="1"/>
    <col min="14" max="14" style="34580" width="102.00390625" customWidth="1"/>
    <col min="15" max="15" style="34657" width="9.00390625" customWidth="1"/>
    <col min="16" max="16" style="34658" width="5.00390625" customWidth="1"/>
    <col min="17" max="17" style="34658" width="3.00390625" customWidth="1"/>
    <col min="18" max="21" style="34657" width="3.00390625" customWidth="1"/>
    <col min="22" max="22" style="34658" width="10.00390625" customWidth="1"/>
    <col min="23" max="23" style="34657" width="34.00390625" customWidth="1"/>
    <col min="24" max="24" style="34657" width="9.00390625" customWidth="1"/>
    <col min="25" max="25" style="35918" width="8.00390625" customWidth="1"/>
    <col min="26" max="30" style="34657" width="8.00390625" customWidth="1"/>
    <col min="31" max="35" style="34544" width="8.00390625" customWidth="1"/>
    <col min="36" max="36" style="34580" width="9.140625" hidden="1"/>
  </cols>
  <sheetData>
    <row customHeight="1" ht="22.5" hidden="1">
      <c r="J1" s="4469"/>
      <c r="K1" s="4469"/>
      <c r="L1" s="4469"/>
      <c r="M1" s="4469"/>
      <c r="AJ1" s="2257" t="s">
        <v>14</v>
      </c>
    </row>
    <row customHeight="1" ht="23.25" hidden="1">
      <c r="B2" s="2725"/>
      <c r="C2" s="1793" t="s">
        <v>563</v>
      </c>
      <c r="D2" s="2264"/>
      <c r="E2" s="1172">
        <f>B2</f>
        <v>0</v>
      </c>
      <c r="F2" s="1173"/>
      <c r="G2" s="2272" t="s">
        <v>564</v>
      </c>
      <c r="H2" s="2272" t="s">
        <v>564</v>
      </c>
      <c r="I2" s="2272" t="s">
        <v>564</v>
      </c>
      <c r="J2" s="4475" t="s">
        <v>564</v>
      </c>
      <c r="K2" s="4475" t="s">
        <v>564</v>
      </c>
      <c r="L2" s="4475" t="s">
        <v>564</v>
      </c>
      <c r="M2" s="4475" t="s">
        <v>564</v>
      </c>
      <c r="N2" s="915" t="s">
        <v>565</v>
      </c>
      <c r="O2" s="1169"/>
      <c r="AJ2" s="2257">
        <v>0</v>
      </c>
    </row>
    <row s="34658" customFormat="1" customHeight="1" ht="0.75" hidden="1">
      <c r="B3" s="2725"/>
      <c r="C3" s="1793"/>
      <c r="D3" s="1174"/>
      <c r="E3" s="1175"/>
      <c r="F3" s="1176" t="s">
        <v>566</v>
      </c>
      <c r="G3" s="1177"/>
      <c r="H3" s="1177">
        <f>H4*H5+H7</f>
        <v>0</v>
      </c>
      <c r="I3" s="1177">
        <f>I4*I5+I6</f>
        <v>0</v>
      </c>
      <c r="J3" s="4481">
        <f>J4*J5+J7</f>
        <v>0</v>
      </c>
      <c r="K3" s="4481">
        <f>K4*K5+K7</f>
        <v>0</v>
      </c>
      <c r="L3" s="4481">
        <f>L4*L5+L7</f>
        <v>0</v>
      </c>
      <c r="M3" s="4481">
        <f>M4*M5+M7</f>
        <v>0</v>
      </c>
      <c r="N3" s="1178"/>
      <c r="AJ3" s="2262">
        <v>0</v>
      </c>
    </row>
    <row customHeight="1" ht="23.25" hidden="1">
      <c r="B4" s="2725"/>
      <c r="C4" s="1793"/>
      <c r="D4" s="2264"/>
      <c r="E4" s="1172" t="str">
        <f>B2&amp;".1"</f>
        <v>.1</v>
      </c>
      <c r="F4" s="1179" t="s">
        <v>567</v>
      </c>
      <c r="G4" s="1180"/>
      <c r="H4" s="1167"/>
      <c r="I4" s="1167"/>
      <c r="J4" s="4486"/>
      <c r="K4" s="4486"/>
      <c r="L4" s="4486"/>
      <c r="M4" s="4486"/>
      <c r="N4" s="915" t="s">
        <v>568</v>
      </c>
      <c r="O4" s="1169"/>
      <c r="AJ4" s="2257">
        <v>0</v>
      </c>
    </row>
    <row customHeight="1" ht="18.75" hidden="1">
      <c r="B5" s="2725"/>
      <c r="C5" s="1793"/>
      <c r="D5" s="2264"/>
      <c r="E5" s="1172" t="str">
        <f>B2&amp;".2"</f>
        <v>.2</v>
      </c>
      <c r="F5" s="1179" t="s">
        <v>569</v>
      </c>
      <c r="G5" s="2272" t="s">
        <v>570</v>
      </c>
      <c r="H5" s="1167"/>
      <c r="I5" s="1167"/>
      <c r="J5" s="4486"/>
      <c r="K5" s="4486"/>
      <c r="L5" s="4486"/>
      <c r="M5" s="4486"/>
      <c r="N5" s="915"/>
      <c r="O5" s="1169"/>
      <c r="AJ5" s="2257">
        <v>0</v>
      </c>
    </row>
    <row customHeight="1" ht="18.75" hidden="1">
      <c r="B6" s="2725"/>
      <c r="C6" s="1793"/>
      <c r="D6" s="2264"/>
      <c r="E6" s="1172" t="str">
        <f>B2&amp;".3"</f>
        <v>.3</v>
      </c>
      <c r="F6" s="1179" t="s">
        <v>571</v>
      </c>
      <c r="G6" s="2272" t="s">
        <v>570</v>
      </c>
      <c r="H6" s="1167"/>
      <c r="I6" s="1167"/>
      <c r="J6" s="4486"/>
      <c r="K6" s="4486"/>
      <c r="L6" s="4486"/>
      <c r="M6" s="4486"/>
      <c r="N6" s="915"/>
      <c r="O6" s="1169"/>
      <c r="AJ6" s="2257">
        <v>0</v>
      </c>
    </row>
    <row customHeight="1" ht="18.75" hidden="1">
      <c r="B7" s="2725"/>
      <c r="C7" s="1793"/>
      <c r="D7" s="2264"/>
      <c r="E7" s="1172" t="str">
        <f>B2&amp;".4"</f>
        <v>.4</v>
      </c>
      <c r="F7" s="1179" t="s">
        <v>572</v>
      </c>
      <c r="G7" s="2272" t="s">
        <v>564</v>
      </c>
      <c r="H7" s="1181"/>
      <c r="I7" s="1181"/>
      <c r="J7" s="4488"/>
      <c r="K7" s="4488"/>
      <c r="L7" s="4488"/>
      <c r="M7" s="4488"/>
      <c r="N7" s="915"/>
      <c r="O7" s="1169"/>
      <c r="AJ7" s="2257">
        <v>0</v>
      </c>
    </row>
    <row s="34657" customFormat="1" customHeight="1" ht="11.25" hidden="1">
      <c r="A8" s="1613"/>
      <c r="C8" s="2262"/>
      <c r="D8" s="1163"/>
      <c r="H8" s="1786">
        <v>4</v>
      </c>
      <c r="I8" s="1786">
        <v>4</v>
      </c>
      <c r="J8" s="4490">
        <v>4</v>
      </c>
      <c r="K8" s="4490">
        <v>4</v>
      </c>
      <c r="L8" s="4490">
        <v>4</v>
      </c>
      <c r="M8" s="4490">
        <v>4</v>
      </c>
      <c r="P8" s="2262"/>
      <c r="Q8" s="2262"/>
      <c r="V8" s="2262"/>
      <c r="AJ8" s="1786">
        <v>0</v>
      </c>
    </row>
    <row s="34657" customFormat="1" customHeight="1" ht="22.5" hidden="1">
      <c r="A9" s="1613"/>
      <c r="C9" s="2262"/>
      <c r="D9" s="1164"/>
      <c r="E9" s="2274"/>
      <c r="F9" s="1166"/>
      <c r="G9" s="2272" t="s">
        <v>570</v>
      </c>
      <c r="H9" s="1167"/>
      <c r="I9" s="1167"/>
      <c r="J9" s="4486"/>
      <c r="K9" s="4486"/>
      <c r="L9" s="4486"/>
      <c r="M9" s="4486"/>
      <c r="N9" s="1168" t="s">
        <v>573</v>
      </c>
      <c r="O9" s="1169"/>
      <c r="P9" s="2262"/>
      <c r="Q9" s="2262"/>
      <c r="V9" s="2262"/>
      <c r="Y9" s="1170"/>
      <c r="AE9" s="2258"/>
      <c r="AF9" s="2258"/>
      <c r="AG9" s="2258"/>
      <c r="AH9" s="2258"/>
      <c r="AI9" s="2258"/>
      <c r="AJ9" s="1786">
        <v>0</v>
      </c>
    </row>
    <row customHeight="1" ht="11.25" hidden="1">
      <c r="J10" s="4469"/>
      <c r="K10" s="4469"/>
      <c r="L10" s="4469"/>
      <c r="M10" s="4469"/>
      <c r="AJ10" s="2257">
        <v>0</v>
      </c>
    </row>
    <row customHeight="1" ht="18.75" hidden="1">
      <c r="D11" s="2264"/>
      <c r="E11" s="1172"/>
      <c r="F11" s="1166"/>
      <c r="G11" s="2272" t="s">
        <v>574</v>
      </c>
      <c r="H11" s="1167"/>
      <c r="I11" s="1167"/>
      <c r="J11" s="4486"/>
      <c r="K11" s="4486"/>
      <c r="L11" s="4486"/>
      <c r="M11" s="4486"/>
      <c r="N11" s="915" t="s">
        <v>575</v>
      </c>
      <c r="O11" s="1169"/>
      <c r="AJ11" s="2257">
        <v>0</v>
      </c>
    </row>
    <row customHeight="1" ht="11.25" hidden="1">
      <c r="J12" s="4469"/>
      <c r="K12" s="4469"/>
      <c r="L12" s="4469"/>
      <c r="M12" s="4469"/>
      <c r="AJ12" s="2257">
        <v>0</v>
      </c>
    </row>
    <row customHeight="1" ht="22.5" hidden="1">
      <c r="D13" s="2264"/>
      <c r="E13" s="1172"/>
      <c r="F13" s="1166"/>
      <c r="G13" s="1595" t="s">
        <v>576</v>
      </c>
      <c r="H13" s="1171"/>
      <c r="I13" s="1171"/>
      <c r="J13" s="4497"/>
      <c r="K13" s="4497"/>
      <c r="L13" s="4497"/>
      <c r="M13" s="4497"/>
      <c r="N13" s="1371" t="s">
        <v>577</v>
      </c>
      <c r="O13" s="1169"/>
      <c r="AJ13" s="2257">
        <v>0</v>
      </c>
    </row>
    <row customHeight="1" ht="11.25" hidden="1">
      <c r="J14" s="4469"/>
      <c r="K14" s="4469"/>
      <c r="L14" s="4469"/>
      <c r="M14" s="4469"/>
      <c r="AJ14" s="2257">
        <v>0</v>
      </c>
    </row>
    <row customHeight="1" ht="22.5" hidden="1">
      <c r="D15" s="2264"/>
      <c r="E15" s="1172"/>
      <c r="F15" s="1166"/>
      <c r="G15" s="2272" t="s">
        <v>578</v>
      </c>
      <c r="H15" s="1171"/>
      <c r="I15" s="1171"/>
      <c r="J15" s="4497"/>
      <c r="K15" s="4497"/>
      <c r="L15" s="4497"/>
      <c r="M15" s="4497"/>
      <c r="N15" s="915" t="s">
        <v>579</v>
      </c>
      <c r="O15" s="1169"/>
      <c r="AJ15" s="2257">
        <v>0</v>
      </c>
    </row>
    <row customHeight="1" ht="11.25" hidden="1">
      <c r="J16" s="4469"/>
      <c r="K16" s="4469"/>
      <c r="L16" s="4469"/>
      <c r="M16" s="4469"/>
      <c r="AJ16" s="2257">
        <v>0</v>
      </c>
    </row>
    <row customHeight="1" ht="22.5" hidden="1">
      <c r="D17" s="2264"/>
      <c r="E17" s="1172"/>
      <c r="F17" s="1166"/>
      <c r="G17" s="2272" t="s">
        <v>580</v>
      </c>
      <c r="H17" s="1171"/>
      <c r="I17" s="1171"/>
      <c r="J17" s="4497"/>
      <c r="K17" s="4497"/>
      <c r="L17" s="4497"/>
      <c r="M17" s="4497"/>
      <c r="N17" s="915" t="s">
        <v>581</v>
      </c>
      <c r="O17" s="1169"/>
      <c r="AJ17" s="2257">
        <v>0</v>
      </c>
    </row>
    <row customHeight="1" ht="11.25" hidden="1">
      <c r="J18" s="4469"/>
      <c r="K18" s="4469"/>
      <c r="L18" s="4469"/>
      <c r="M18" s="4469"/>
      <c r="AJ18" s="2257">
        <v>0</v>
      </c>
    </row>
    <row s="34544" customFormat="1" customHeight="1" ht="11.25" hidden="1">
      <c r="A19" s="1613"/>
      <c r="B19" s="1786"/>
      <c r="C19" s="2262"/>
      <c r="D19" s="988"/>
      <c r="J19" s="4500"/>
      <c r="K19" s="4500"/>
      <c r="L19" s="4500"/>
      <c r="M19" s="4500"/>
      <c r="N19" s="2258">
        <v>4</v>
      </c>
      <c r="O19" s="1786"/>
      <c r="P19" s="2262"/>
      <c r="Q19" s="2262"/>
      <c r="R19" s="1786"/>
      <c r="S19" s="1786"/>
      <c r="T19" s="1786"/>
      <c r="U19" s="1786"/>
      <c r="V19" s="2262"/>
      <c r="W19" s="1786"/>
      <c r="X19" s="1786"/>
      <c r="Y19" s="1170"/>
      <c r="Z19" s="1786"/>
      <c r="AA19" s="1786"/>
      <c r="AB19" s="1786"/>
      <c r="AC19" s="1786"/>
      <c r="AD19" s="1786"/>
      <c r="AJ19" s="2258">
        <v>0</v>
      </c>
    </row>
    <row customHeight="1" ht="11.549999999999999">
      <c r="J20" s="4469"/>
      <c r="K20" s="4469"/>
      <c r="L20" s="4469"/>
      <c r="M20" s="4469"/>
      <c r="AJ20" s="2257">
        <v>11</v>
      </c>
    </row>
    <row customHeight="1" ht="25.2">
      <c r="E21" s="2874"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874"/>
      <c r="G21" s="2874"/>
      <c r="H21" s="2874"/>
      <c r="I21" s="2874"/>
      <c r="J21" s="4501"/>
      <c r="K21" s="4501"/>
      <c r="L21" s="4501"/>
      <c r="M21" s="4501"/>
      <c r="N21" s="1182"/>
      <c r="AJ21" s="2257">
        <v>24</v>
      </c>
    </row>
    <row customHeight="1" ht="25.2">
      <c r="E22" s="2875" t="str">
        <f>IF(org=0,"Не определено",org)</f>
        <v>АО "ДГК"</v>
      </c>
      <c r="F22" s="2875"/>
      <c r="G22" s="2875"/>
      <c r="H22" s="2875"/>
      <c r="I22" s="2875"/>
      <c r="J22" s="4503"/>
      <c r="K22" s="4503"/>
      <c r="L22" s="4503"/>
      <c r="M22" s="4503"/>
      <c r="AJ22" s="2257">
        <v>24</v>
      </c>
    </row>
    <row customHeight="1" ht="11.549999999999999">
      <c r="E23" s="1761"/>
      <c r="F23" s="1761"/>
      <c r="G23" s="1761"/>
      <c r="H23" s="1761"/>
      <c r="I23" s="1761"/>
      <c r="J23" s="4505" t="s">
        <v>22</v>
      </c>
      <c r="K23" s="4505" t="s">
        <v>22</v>
      </c>
      <c r="L23" s="4505" t="s">
        <v>22</v>
      </c>
      <c r="M23" s="4505" t="s">
        <v>22</v>
      </c>
      <c r="AJ23" s="2257">
        <v>11</v>
      </c>
    </row>
    <row s="34658" customFormat="1" customHeight="1" ht="1.05">
      <c r="A24" s="1793"/>
      <c r="D24" s="2268"/>
      <c r="H24" s="1515"/>
      <c r="I24" s="1515" t="s">
        <v>126</v>
      </c>
      <c r="J24" s="4507" t="s">
        <v>131</v>
      </c>
      <c r="K24" s="4507" t="s">
        <v>134</v>
      </c>
      <c r="L24" s="4507" t="s">
        <v>139</v>
      </c>
      <c r="M24" s="4507" t="s">
        <v>137</v>
      </c>
      <c r="AJ24" s="2262">
        <v>1</v>
      </c>
    </row>
    <row customHeight="1" ht="11.549999999999999">
      <c r="E25" s="1337"/>
      <c r="F25" s="2993" t="s">
        <v>114</v>
      </c>
      <c r="G25" s="2994"/>
      <c r="H25" s="2278" t="str">
        <f>IF(H24="","",INDEX(DIFFERENTIATION_UNMERGE_VD,MATCH(H24,DIFFERENTIATION_ID_DIFF,0)))</f>
        <v/>
      </c>
      <c r="I25" s="2278"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J25" s="4512"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K25" s="4512" t="str">
        <f>IF(K24="","",INDEX(DIFFERENTIATION_UNMERGE_VD,MATCH(K24,DIFFERENTIATION_ID_DIFF,0)))</f>
        <v>Производство тепловой энергии. Некомбинированная выработка</v>
      </c>
      <c r="L25" s="4512" t="str">
        <f>IF(L24="","",INDEX(DIFFERENTIATION_UNMERGE_VD,MATCH(L24,DIFFERENTIATION_ID_DIFF,0)))</f>
        <v>Производство тепловой энергии. Комбинированная выработка с уст. мощностью производства электрической энергии 25 МВт и более</v>
      </c>
      <c r="M25" s="4512" t="str">
        <f>IF(M24="","",INDEX(DIFFERENTIATION_UNMERGE_VD,MATCH(M24,DIFFERENTIATION_ID_DIFF,0)))</f>
        <v>Производство тепловой энергии. Некомбинированная выработка</v>
      </c>
      <c r="N25" s="2753"/>
      <c r="AJ25" s="2257">
        <v>11</v>
      </c>
    </row>
    <row customHeight="1" ht="11.549999999999999">
      <c r="E26" s="1337"/>
      <c r="F26" s="2993" t="s">
        <v>582</v>
      </c>
      <c r="G26" s="2994"/>
      <c r="H26" s="2278" t="str">
        <f>IF(H24="","",INDEX(DIFFERENTIATION_UNMERGE_AREA,MATCH(H24,DIFFERENTIATION_ID_DIFF,0)))</f>
        <v/>
      </c>
      <c r="I26" s="2278" t="str">
        <f>IF(I24="","",INDEX(DIFFERENTIATION_UNMERGE_AREA,MATCH(I24,DIFFERENTIATION_ID_DIFF,0)))</f>
        <v>Территория 1</v>
      </c>
      <c r="J26" s="4512" t="str">
        <f>IF(J24="","",INDEX(DIFFERENTIATION_UNMERGE_AREA,MATCH(J24,DIFFERENTIATION_ID_DIFF,0)))</f>
        <v>Территория 2</v>
      </c>
      <c r="K26" s="4512" t="str">
        <f>IF(K24="","",INDEX(DIFFERENTIATION_UNMERGE_AREA,MATCH(K24,DIFFERENTIATION_ID_DIFF,0)))</f>
        <v>Территория 2</v>
      </c>
      <c r="L26" s="4512" t="str">
        <f>IF(L24="","",INDEX(DIFFERENTIATION_UNMERGE_AREA,MATCH(L24,DIFFERENTIATION_ID_DIFF,0)))</f>
        <v>Территория 3</v>
      </c>
      <c r="M26" s="4512" t="str">
        <f>IF(M24="","",INDEX(DIFFERENTIATION_UNMERGE_AREA,MATCH(M24,DIFFERENTIATION_ID_DIFF,0)))</f>
        <v>Территория 3</v>
      </c>
      <c r="N26" s="2753"/>
      <c r="AJ26" s="2257">
        <v>11</v>
      </c>
    </row>
    <row customHeight="1" ht="11.549999999999999">
      <c r="E27" s="1337"/>
      <c r="F27" s="2993" t="s">
        <v>583</v>
      </c>
      <c r="G27" s="2994"/>
      <c r="H27" s="2278" t="str">
        <f>IF(H24="","",INDEX(DIFFERENTIATION_UNMERGE_SYSTEM,MATCH(H24,DIFFERENTIATION_ID_DIFF,0)))</f>
        <v/>
      </c>
      <c r="I27" s="2278" t="str">
        <f>IF(I24="","",INDEX(DIFFERENTIATION_UNMERGE_SYSTEM,MATCH(I24,DIFFERENTIATION_ID_DIFF,0)))</f>
        <v>Благовещенская ТЭЦ (г. Благовещенск)</v>
      </c>
      <c r="J27" s="4512" t="str">
        <f>IF(J24="","",INDEX(DIFFERENTIATION_UNMERGE_SYSTEM,MATCH(J24,DIFFERENTIATION_ID_DIFF,0)))</f>
        <v>Райчихинская ГРЭС </v>
      </c>
      <c r="K27" s="4512" t="str">
        <f>IF(K24="","",INDEX(DIFFERENTIATION_UNMERGE_SYSTEM,MATCH(K24,DIFFERENTIATION_ID_DIFF,0)))</f>
        <v>Котельная "Агромех" (п.г.т. Новорайчихинск)</v>
      </c>
      <c r="L27" s="4512" t="str">
        <f>IF(L24="","",INDEX(DIFFERENTIATION_UNMERGE_SYSTEM,MATCH(L24,DIFFERENTIATION_ID_DIFF,0)))</f>
        <v>Благовещенская ТЭЦ (с. Чигири)</v>
      </c>
      <c r="M27" s="4512" t="str">
        <f>IF(M24="","",INDEX(DIFFERENTIATION_UNMERGE_SYSTEM,MATCH(M24,DIFFERENTIATION_ID_DIFF,0)))</f>
        <v>Котельная "Центральная" (с. Чигири ) </v>
      </c>
      <c r="N27" s="2753"/>
      <c r="AJ27" s="2257">
        <v>11</v>
      </c>
    </row>
    <row customHeight="1" ht="11.549999999999999">
      <c r="E28" s="2995" t="s">
        <v>318</v>
      </c>
      <c r="F28" s="2996"/>
      <c r="G28" s="2996"/>
      <c r="H28" s="2271"/>
      <c r="I28" s="2271"/>
      <c r="J28" s="4516"/>
      <c r="K28" s="4516"/>
      <c r="L28" s="4516"/>
      <c r="M28" s="4516"/>
      <c r="N28" s="2753"/>
      <c r="AJ28" s="2257">
        <v>11</v>
      </c>
    </row>
    <row customHeight="1" ht="24">
      <c r="E29" s="2272" t="s">
        <v>88</v>
      </c>
      <c r="F29" s="2279" t="s">
        <v>320</v>
      </c>
      <c r="G29" s="2279" t="s">
        <v>584</v>
      </c>
      <c r="H29" s="2279" t="s">
        <v>321</v>
      </c>
      <c r="I29" s="2279" t="s">
        <v>321</v>
      </c>
      <c r="J29" s="4475" t="s">
        <v>321</v>
      </c>
      <c r="K29" s="4475" t="s">
        <v>321</v>
      </c>
      <c r="L29" s="4475" t="s">
        <v>321</v>
      </c>
      <c r="M29" s="4475" t="s">
        <v>321</v>
      </c>
      <c r="N29" s="2753"/>
      <c r="AJ29" s="2257">
        <v>23</v>
      </c>
    </row>
    <row customHeight="1" ht="19.95">
      <c r="D30" s="2264"/>
      <c r="E30" s="1172">
        <f>FHD_NUM_P_1</f>
        <v>1</v>
      </c>
      <c r="F30" s="2506" t="str">
        <f>FHD_P_1</f>
        <v>Выручка от регулируемого вида деятельности с распределением по видам деятельности</v>
      </c>
      <c r="G30" s="2504" t="s">
        <v>570</v>
      </c>
      <c r="H30" s="1183"/>
      <c r="I30" s="1183"/>
      <c r="J30" s="4521"/>
      <c r="K30" s="4521"/>
      <c r="L30" s="4521"/>
      <c r="M30" s="4521"/>
      <c r="N30" s="915" t="str">
        <f>FHD_NOTE_P_1</f>
        <v>Указывается выручка от регулируемого вида деятельности с распределением по видам деятельности.</v>
      </c>
      <c r="O30" s="1169"/>
      <c r="AJ30" s="2257">
        <v>19</v>
      </c>
    </row>
    <row customHeight="1" ht="11.549999999999999">
      <c r="D31" s="2264"/>
      <c r="E31" s="1172">
        <f>FHD_NUM_P_2</f>
        <v>2</v>
      </c>
      <c r="F31" s="2506" t="str">
        <f>FHD_P_2</f>
        <v>Себестоимость производимых товаров (оказываемых услуг) по регулируемому виду деятельности, включая:</v>
      </c>
      <c r="G31" s="2504" t="s">
        <v>570</v>
      </c>
      <c r="H31" s="1184">
        <f>SUMIF($O33:$O71,$O31,H33:H71)</f>
        <v>0</v>
      </c>
      <c r="I31" s="1184">
        <f>SUMIF($O33:$O71,$O31,I33:I71)</f>
        <v>0</v>
      </c>
      <c r="J31" s="4523">
        <f>SUMIF($O33:$O71,$O31,J33:J71)</f>
        <v>0</v>
      </c>
      <c r="K31" s="4523">
        <f>SUMIF($O33:$O71,$O31,K33:K71)</f>
        <v>0</v>
      </c>
      <c r="L31" s="4523">
        <f>SUMIF($O33:$O71,$O31,L33:L71)</f>
        <v>0</v>
      </c>
      <c r="M31" s="4523">
        <f>SUMIF($O33:$O71,$O31,M33:M71)</f>
        <v>0</v>
      </c>
      <c r="N31" s="915" t="str">
        <f>FHD_NOTE_P_2</f>
        <v>Указывается суммарная себестоимость производимых товаров.</v>
      </c>
      <c r="O31" s="2262" t="s">
        <v>585</v>
      </c>
      <c r="AJ31" s="2257">
        <v>11</v>
      </c>
    </row>
    <row customHeight="1" ht="11.549999999999999">
      <c r="D32" s="2264"/>
      <c r="E32" s="1172" t="str">
        <f>FHD_NUM_P_3</f>
        <v>2.1</v>
      </c>
      <c r="F32" s="2150" t="str">
        <f>FHD_P_3</f>
        <v>Расходы на приобретаемую тепловую энергию (мощность), теплоноситель</v>
      </c>
      <c r="G32" s="2504" t="s">
        <v>570</v>
      </c>
      <c r="H32" s="1183"/>
      <c r="I32" s="1183"/>
      <c r="J32" s="4521"/>
      <c r="K32" s="4521"/>
      <c r="L32" s="4521"/>
      <c r="M32" s="4521"/>
      <c r="N32" s="915" t="str">
        <f>FHD_NOTE_P_3</f>
        <v/>
      </c>
      <c r="O32" s="2262" t="str">
        <f>IF((LEN(E32)-LEN(SUBSTITUTE(E32,".","")))/LEN(".")=1,"p","")</f>
        <v>p</v>
      </c>
      <c r="AJ32" s="2257">
        <v>11</v>
      </c>
    </row>
    <row customHeight="1" ht="11.25">
      <c r="A33" s="2997" t="s">
        <v>586</v>
      </c>
      <c r="D33" s="2264"/>
      <c r="E33" s="1172" t="str">
        <f>FHD_NUM_P_4</f>
        <v>2.2</v>
      </c>
      <c r="F33" s="21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504" t="s">
        <v>570</v>
      </c>
      <c r="H33" s="1184">
        <f>SUMIF($F34:$F40,$F3,H34:H40)</f>
        <v>0</v>
      </c>
      <c r="I33" s="1184">
        <f>SUMIF($F34:$F40,$F3,I34:I40)</f>
        <v>0</v>
      </c>
      <c r="J33" s="4523">
        <f>SUMIF($F34:$F40,$F3,J34:J40)</f>
        <v>0</v>
      </c>
      <c r="K33" s="4523">
        <f>SUMIF($F34:$F40,$F3,K34:K40)</f>
        <v>0</v>
      </c>
      <c r="L33" s="4523">
        <f>SUMIF($F34:$F40,$F3,L34:L40)</f>
        <v>0</v>
      </c>
      <c r="M33" s="4523">
        <f>SUMIF($F34:$F40,$F3,M34:M40)</f>
        <v>0</v>
      </c>
      <c r="N33" s="915" t="str">
        <f>FHD_NOTE_P_4</f>
        <v>Указываются суммарные расходы на приобретение топлива всех видов.</v>
      </c>
      <c r="O33" s="2262" t="str">
        <f>IF((LEN(E33)-LEN(SUBSTITUTE(E33,".","")))/LEN(".")=1,"p","")</f>
        <v>p</v>
      </c>
      <c r="AJ33" s="2257">
        <v>0</v>
      </c>
    </row>
    <row s="35197" customFormat="1" customHeight="1" ht="0.75">
      <c r="A34" s="2997"/>
      <c r="B34" s="2998" t="str">
        <f>E33&amp;".0"</f>
        <v>2.2.0</v>
      </c>
      <c r="C34" s="1793"/>
      <c r="D34" s="1186"/>
      <c r="E34" s="1187"/>
      <c r="F34" s="1188"/>
      <c r="G34" s="1189"/>
      <c r="H34" s="1123"/>
      <c r="I34" s="1123"/>
      <c r="J34" s="4531"/>
      <c r="K34" s="4531"/>
      <c r="L34" s="4531"/>
      <c r="M34" s="4531"/>
      <c r="N34" s="1190"/>
      <c r="O34" s="2262" t="str">
        <f>IF((LEN(E34)-LEN(SUBSTITUTE(E34,".","")))/LEN(".")=1,"p","")</f>
        <v/>
      </c>
      <c r="P34" s="2262"/>
      <c r="Q34" s="2262"/>
      <c r="R34" s="2262"/>
      <c r="S34" s="2262"/>
      <c r="T34" s="2262"/>
      <c r="U34" s="2262"/>
      <c r="V34" s="2262"/>
      <c r="W34" s="2262"/>
      <c r="X34" s="2262"/>
      <c r="Y34" s="1191"/>
      <c r="Z34" s="2262"/>
      <c r="AA34" s="2262"/>
      <c r="AB34" s="2262"/>
      <c r="AC34" s="2262"/>
      <c r="AD34" s="2262"/>
      <c r="AE34" s="1192"/>
      <c r="AF34" s="1192"/>
      <c r="AG34" s="1192"/>
      <c r="AH34" s="1192"/>
      <c r="AI34" s="1192"/>
      <c r="AJ34" s="2267">
        <v>0</v>
      </c>
    </row>
    <row s="35197" customFormat="1" customHeight="1" ht="0.75">
      <c r="A35" s="2997"/>
      <c r="B35" s="2998"/>
      <c r="C35" s="1793"/>
      <c r="D35" s="1186"/>
      <c r="E35" s="1193"/>
      <c r="F35" s="1194"/>
      <c r="G35" s="1189"/>
      <c r="H35" s="1195"/>
      <c r="I35" s="1195"/>
      <c r="J35" s="4538"/>
      <c r="K35" s="4538"/>
      <c r="L35" s="4538"/>
      <c r="M35" s="4538"/>
      <c r="N35" s="1190"/>
      <c r="O35" s="2262" t="str">
        <f>IF((LEN(E35)-LEN(SUBSTITUTE(E35,".","")))/LEN(".")=1,"p","")</f>
        <v/>
      </c>
      <c r="P35" s="2262"/>
      <c r="Q35" s="2262"/>
      <c r="R35" s="2262"/>
      <c r="S35" s="2262"/>
      <c r="T35" s="2262"/>
      <c r="U35" s="2262"/>
      <c r="V35" s="2262"/>
      <c r="W35" s="2262"/>
      <c r="X35" s="2262"/>
      <c r="Y35" s="1191"/>
      <c r="Z35" s="2262"/>
      <c r="AA35" s="2262"/>
      <c r="AB35" s="2262"/>
      <c r="AC35" s="2262"/>
      <c r="AD35" s="2262"/>
      <c r="AE35" s="1192"/>
      <c r="AF35" s="1192"/>
      <c r="AG35" s="1192"/>
      <c r="AH35" s="1192"/>
      <c r="AI35" s="1192"/>
      <c r="AJ35" s="2267">
        <v>0</v>
      </c>
    </row>
    <row s="35197" customFormat="1" customHeight="1" ht="0.75">
      <c r="A36" s="2997"/>
      <c r="B36" s="2998"/>
      <c r="C36" s="1793"/>
      <c r="D36" s="1186"/>
      <c r="E36" s="1193"/>
      <c r="F36" s="1194"/>
      <c r="G36" s="1189"/>
      <c r="H36" s="1195"/>
      <c r="I36" s="1195"/>
      <c r="J36" s="4538"/>
      <c r="K36" s="4538"/>
      <c r="L36" s="4538"/>
      <c r="M36" s="4538"/>
      <c r="N36" s="1190"/>
      <c r="O36" s="2262" t="str">
        <f>IF((LEN(E36)-LEN(SUBSTITUTE(E36,".","")))/LEN(".")=1,"p","")</f>
        <v/>
      </c>
      <c r="P36" s="2262"/>
      <c r="Q36" s="2262"/>
      <c r="R36" s="2262"/>
      <c r="S36" s="2262"/>
      <c r="T36" s="2262"/>
      <c r="U36" s="2262"/>
      <c r="V36" s="2262"/>
      <c r="W36" s="2262"/>
      <c r="X36" s="2262"/>
      <c r="Y36" s="1191"/>
      <c r="Z36" s="2262"/>
      <c r="AA36" s="2262"/>
      <c r="AB36" s="2262"/>
      <c r="AC36" s="2262"/>
      <c r="AD36" s="2262"/>
      <c r="AE36" s="1192"/>
      <c r="AF36" s="1192"/>
      <c r="AG36" s="1192"/>
      <c r="AH36" s="1192"/>
      <c r="AI36" s="1192"/>
      <c r="AJ36" s="2267">
        <v>0</v>
      </c>
    </row>
    <row s="35197" customFormat="1" customHeight="1" ht="0.75">
      <c r="A37" s="2997"/>
      <c r="B37" s="2998"/>
      <c r="C37" s="1793"/>
      <c r="D37" s="1186"/>
      <c r="E37" s="1193"/>
      <c r="F37" s="1194"/>
      <c r="G37" s="1189"/>
      <c r="H37" s="1195"/>
      <c r="I37" s="1195"/>
      <c r="J37" s="4538"/>
      <c r="K37" s="4538"/>
      <c r="L37" s="4538"/>
      <c r="M37" s="4538"/>
      <c r="N37" s="1190"/>
      <c r="O37" s="2262" t="str">
        <f>IF((LEN(E37)-LEN(SUBSTITUTE(E37,".","")))/LEN(".")=1,"p","")</f>
        <v/>
      </c>
      <c r="P37" s="2262"/>
      <c r="Q37" s="2262"/>
      <c r="R37" s="2262"/>
      <c r="S37" s="2262"/>
      <c r="T37" s="2262"/>
      <c r="U37" s="2262"/>
      <c r="V37" s="2262"/>
      <c r="W37" s="2262"/>
      <c r="X37" s="2262"/>
      <c r="Y37" s="1191"/>
      <c r="Z37" s="2262"/>
      <c r="AA37" s="2262"/>
      <c r="AB37" s="2262"/>
      <c r="AC37" s="2262"/>
      <c r="AD37" s="2262"/>
      <c r="AE37" s="1192"/>
      <c r="AF37" s="1192"/>
      <c r="AG37" s="1192"/>
      <c r="AH37" s="1192"/>
      <c r="AI37" s="1192"/>
      <c r="AJ37" s="2267">
        <v>0</v>
      </c>
    </row>
    <row s="35197" customFormat="1" customHeight="1" ht="0.75">
      <c r="A38" s="2997"/>
      <c r="B38" s="2998"/>
      <c r="C38" s="1793"/>
      <c r="D38" s="1186"/>
      <c r="E38" s="1193"/>
      <c r="F38" s="1194"/>
      <c r="G38" s="1189"/>
      <c r="H38" s="1195"/>
      <c r="I38" s="1195"/>
      <c r="J38" s="4538"/>
      <c r="K38" s="4538"/>
      <c r="L38" s="4538"/>
      <c r="M38" s="4538"/>
      <c r="N38" s="1190"/>
      <c r="O38" s="2262" t="str">
        <f>IF((LEN(E38)-LEN(SUBSTITUTE(E38,".","")))/LEN(".")=1,"p","")</f>
        <v/>
      </c>
      <c r="P38" s="2262"/>
      <c r="Q38" s="2262"/>
      <c r="R38" s="2262"/>
      <c r="S38" s="2262"/>
      <c r="T38" s="2262"/>
      <c r="U38" s="2262"/>
      <c r="V38" s="2262"/>
      <c r="W38" s="2262"/>
      <c r="X38" s="2262"/>
      <c r="Y38" s="1191"/>
      <c r="Z38" s="2262"/>
      <c r="AA38" s="2262"/>
      <c r="AB38" s="2262"/>
      <c r="AC38" s="2262"/>
      <c r="AD38" s="2262"/>
      <c r="AE38" s="1192"/>
      <c r="AF38" s="1192"/>
      <c r="AG38" s="1192"/>
      <c r="AH38" s="1192"/>
      <c r="AI38" s="1192"/>
      <c r="AJ38" s="2267">
        <v>0</v>
      </c>
    </row>
    <row s="35197" customFormat="1" customHeight="1" ht="0.75">
      <c r="A39" s="2997"/>
      <c r="B39" s="2998"/>
      <c r="C39" s="1793"/>
      <c r="D39" s="1186"/>
      <c r="E39" s="1193"/>
      <c r="F39" s="1194"/>
      <c r="G39" s="1189"/>
      <c r="H39" s="1123"/>
      <c r="I39" s="1123"/>
      <c r="J39" s="4531"/>
      <c r="K39" s="4531"/>
      <c r="L39" s="4531"/>
      <c r="M39" s="4531"/>
      <c r="N39" s="1190"/>
      <c r="O39" s="2262" t="str">
        <f>IF((LEN(E39)-LEN(SUBSTITUTE(E39,".","")))/LEN(".")=1,"p","")</f>
        <v/>
      </c>
      <c r="P39" s="2262"/>
      <c r="Q39" s="2262"/>
      <c r="R39" s="2262"/>
      <c r="S39" s="2262"/>
      <c r="T39" s="2262"/>
      <c r="U39" s="2262"/>
      <c r="V39" s="2262"/>
      <c r="W39" s="2262"/>
      <c r="X39" s="2262"/>
      <c r="Y39" s="1191"/>
      <c r="Z39" s="2262"/>
      <c r="AA39" s="2262"/>
      <c r="AB39" s="2262"/>
      <c r="AC39" s="2262"/>
      <c r="AD39" s="2262"/>
      <c r="AE39" s="1192"/>
      <c r="AF39" s="1192"/>
      <c r="AG39" s="1192"/>
      <c r="AH39" s="1192"/>
      <c r="AI39" s="1192"/>
      <c r="AJ39" s="2267">
        <v>0</v>
      </c>
    </row>
    <row s="34657" customFormat="1" customHeight="1" ht="15">
      <c r="A40" s="2997"/>
      <c r="C40" s="2262"/>
      <c r="D40" s="2259"/>
      <c r="E40" s="1196"/>
      <c r="F40" s="1197" t="s">
        <v>587</v>
      </c>
      <c r="G40" s="1198"/>
      <c r="H40" s="1199"/>
      <c r="I40" s="1199"/>
      <c r="J40" s="4543"/>
      <c r="K40" s="4544"/>
      <c r="L40" s="4545"/>
      <c r="M40" s="4546"/>
      <c r="N40" s="927"/>
      <c r="O40" s="2262" t="str">
        <f>IF((LEN(E40)-LEN(SUBSTITUTE(E40,".","")))/LEN(".")=1,"p","")</f>
        <v/>
      </c>
      <c r="P40" s="2262"/>
      <c r="Q40" s="2262"/>
      <c r="V40" s="2262"/>
      <c r="Y40" s="1170"/>
      <c r="AE40" s="2258"/>
      <c r="AF40" s="2258"/>
      <c r="AG40" s="2258"/>
      <c r="AH40" s="2258"/>
      <c r="AI40" s="2258"/>
      <c r="AJ40" s="1786">
        <v>0</v>
      </c>
    </row>
    <row customHeight="1" ht="11.25" hidden="1">
      <c r="A41" s="2997" t="s">
        <v>588</v>
      </c>
      <c r="D41" s="2264"/>
      <c r="E41" s="1172" t="str">
        <f>FHD_NUM_P_5</f>
        <v/>
      </c>
      <c r="F41" s="2150" t="str">
        <f>FHD_P_5</f>
        <v/>
      </c>
      <c r="G41" s="2504" t="s">
        <v>570</v>
      </c>
      <c r="H41" s="1183"/>
      <c r="I41" s="1183"/>
      <c r="J41" s="4521"/>
      <c r="K41" s="4521"/>
      <c r="L41" s="4521"/>
      <c r="M41" s="4521"/>
      <c r="N41" s="915" t="str">
        <f>FHD_NOTE_P_5</f>
        <v/>
      </c>
      <c r="O41" s="2262" t="str">
        <f>IF((LEN(E41)-LEN(SUBSTITUTE(E41,".","")))/LEN(".")=1,"p","")</f>
        <v/>
      </c>
      <c r="AJ41" s="2257">
        <v>0</v>
      </c>
    </row>
    <row customHeight="1" ht="11.25" hidden="1">
      <c r="A42" s="2997"/>
      <c r="D42" s="2264"/>
      <c r="E42" s="1172" t="str">
        <f>FHD_NUM_P_6</f>
        <v/>
      </c>
      <c r="F42" s="2150" t="str">
        <f>FHD_P_6</f>
        <v/>
      </c>
      <c r="G42" s="2504" t="s">
        <v>570</v>
      </c>
      <c r="H42" s="1183"/>
      <c r="I42" s="1183"/>
      <c r="J42" s="4521"/>
      <c r="K42" s="4521"/>
      <c r="L42" s="4521"/>
      <c r="M42" s="4521"/>
      <c r="N42" s="915" t="str">
        <f>FHD_NOTE_P_6</f>
        <v/>
      </c>
      <c r="O42" s="2262" t="str">
        <f>IF((LEN(E42)-LEN(SUBSTITUTE(E42,".","")))/LEN(".")=1,"p","")</f>
        <v/>
      </c>
      <c r="AJ42" s="2257">
        <v>0</v>
      </c>
    </row>
    <row customHeight="1" ht="11.25" hidden="1">
      <c r="A43" s="2997"/>
      <c r="D43" s="2264"/>
      <c r="E43" s="1172" t="str">
        <f>FHD_NUM_P_7</f>
        <v/>
      </c>
      <c r="F43" s="2150" t="str">
        <f>FHD_P_7</f>
        <v/>
      </c>
      <c r="G43" s="2504" t="s">
        <v>570</v>
      </c>
      <c r="H43" s="1183"/>
      <c r="I43" s="1183"/>
      <c r="J43" s="4521"/>
      <c r="K43" s="4521"/>
      <c r="L43" s="4521"/>
      <c r="M43" s="4521"/>
      <c r="N43" s="915" t="str">
        <f>FHD_NOTE_P_7</f>
        <v/>
      </c>
      <c r="O43" s="2262" t="str">
        <f>IF((LEN(E43)-LEN(SUBSTITUTE(E43,".","")))/LEN(".")=1,"p","")</f>
        <v/>
      </c>
      <c r="AJ43" s="2257">
        <v>0</v>
      </c>
    </row>
    <row customHeight="1" ht="11.549999999999999">
      <c r="D44" s="2264"/>
      <c r="E44" s="1172" t="str">
        <f>FHD_NUM_P_8</f>
        <v>2.3</v>
      </c>
      <c r="F44" s="2150" t="str">
        <f>FHD_P_8</f>
        <v>Расходы на приобретаемую электрическую энергию (мощность), используемую в технологическом процессе</v>
      </c>
      <c r="G44" s="2504" t="s">
        <v>570</v>
      </c>
      <c r="H44" s="1183"/>
      <c r="I44" s="1183"/>
      <c r="J44" s="4521"/>
      <c r="K44" s="4521"/>
      <c r="L44" s="4521"/>
      <c r="M44" s="4521"/>
      <c r="N44" s="915" t="str">
        <f>FHD_NOTE_P_8</f>
        <v/>
      </c>
      <c r="O44" s="2262" t="str">
        <f>IF((LEN(E44)-LEN(SUBSTITUTE(E44,".","")))/LEN(".")=1,"p","")</f>
        <v>p</v>
      </c>
      <c r="AJ44" s="2257">
        <v>11</v>
      </c>
    </row>
    <row customHeight="1" ht="11.549999999999999">
      <c r="D45" s="2264"/>
      <c r="E45" s="1172" t="str">
        <f>FHD_NUM_P_9</f>
        <v>2.3.1</v>
      </c>
      <c r="F45" s="2276" t="str">
        <f>FHD_P_9</f>
        <v>Средневзвешенная стоимость 1 кВт.ч</v>
      </c>
      <c r="G45" s="2504" t="s">
        <v>589</v>
      </c>
      <c r="H45" s="1183"/>
      <c r="I45" s="1183"/>
      <c r="J45" s="4521"/>
      <c r="K45" s="4521"/>
      <c r="L45" s="4521"/>
      <c r="M45" s="4521"/>
      <c r="N45" s="915" t="str">
        <f>FHD_NOTE_P_9</f>
        <v/>
      </c>
      <c r="O45" s="2262" t="str">
        <f>IF((LEN(E45)-LEN(SUBSTITUTE(E45,".","")))/LEN(".")=1,"p","")</f>
        <v/>
      </c>
      <c r="AJ45" s="2257">
        <v>11</v>
      </c>
    </row>
    <row s="34657" customFormat="1" customHeight="1" ht="11.549999999999999">
      <c r="A46" s="1613"/>
      <c r="C46" s="2262"/>
      <c r="D46" s="1200"/>
      <c r="E46" s="1172" t="str">
        <f>FHD_NUM_P_10</f>
        <v>2.3.2</v>
      </c>
      <c r="F46" s="2276" t="str">
        <f>FHD_P_10</f>
        <v>Объём приобретения электрической энергии</v>
      </c>
      <c r="G46" s="2504" t="s">
        <v>590</v>
      </c>
      <c r="H46" s="1183"/>
      <c r="I46" s="1183"/>
      <c r="J46" s="4521"/>
      <c r="K46" s="4521"/>
      <c r="L46" s="4521"/>
      <c r="M46" s="4521"/>
      <c r="N46" s="915" t="str">
        <f>FHD_NOTE_P_10</f>
        <v/>
      </c>
      <c r="O46" s="2262" t="str">
        <f>IF((LEN(E46)-LEN(SUBSTITUTE(E46,".","")))/LEN(".")=1,"p","")</f>
        <v/>
      </c>
      <c r="P46" s="2262"/>
      <c r="Q46" s="2262"/>
      <c r="V46" s="2262"/>
      <c r="Y46" s="1170"/>
      <c r="AE46" s="2258"/>
      <c r="AF46" s="2258"/>
      <c r="AG46" s="2258"/>
      <c r="AH46" s="2258"/>
      <c r="AI46" s="2258"/>
      <c r="AJ46" s="1786">
        <v>11</v>
      </c>
    </row>
    <row s="34657" customFormat="1" customHeight="1" ht="11.25">
      <c r="A47" s="1615" t="s">
        <v>591</v>
      </c>
      <c r="C47" s="2262"/>
      <c r="D47" s="1201"/>
      <c r="E47" s="1172" t="str">
        <f>FHD_NUM_P_11</f>
        <v>2.4</v>
      </c>
      <c r="F47" s="2150" t="str">
        <f>FHD_P_11</f>
        <v>Расходы на приобретение холодной воды, используемой в технологическом процессе</v>
      </c>
      <c r="G47" s="2504" t="s">
        <v>570</v>
      </c>
      <c r="H47" s="1183"/>
      <c r="I47" s="1183"/>
      <c r="J47" s="4521"/>
      <c r="K47" s="4521"/>
      <c r="L47" s="4521"/>
      <c r="M47" s="4521"/>
      <c r="N47" s="915" t="str">
        <f>FHD_NOTE_P_11</f>
        <v/>
      </c>
      <c r="O47" s="2262" t="str">
        <f>IF((LEN(E47)-LEN(SUBSTITUTE(E47,".","")))/LEN(".")=1,"p","")</f>
        <v>p</v>
      </c>
      <c r="P47" s="2262"/>
      <c r="Q47" s="2262"/>
      <c r="V47" s="2262"/>
      <c r="Y47" s="1170"/>
      <c r="AE47" s="2258"/>
      <c r="AF47" s="2258"/>
      <c r="AG47" s="2258"/>
      <c r="AH47" s="2258"/>
      <c r="AI47" s="2258"/>
      <c r="AJ47" s="1786">
        <v>0</v>
      </c>
    </row>
    <row s="34657" customFormat="1" customHeight="1" ht="18.75">
      <c r="A48" s="1615" t="s">
        <v>592</v>
      </c>
      <c r="C48" s="2262"/>
      <c r="D48" s="2264"/>
      <c r="E48" s="1172" t="str">
        <f>FHD_NUM_P_12</f>
        <v>2.5</v>
      </c>
      <c r="F48" s="2150" t="str">
        <f>FHD_P_12</f>
        <v>Расходы на  хим. реагенты, используемые в технологическом процессе</v>
      </c>
      <c r="G48" s="2504" t="s">
        <v>570</v>
      </c>
      <c r="H48" s="1203"/>
      <c r="I48" s="1203"/>
      <c r="J48" s="4552"/>
      <c r="K48" s="4552"/>
      <c r="L48" s="4552"/>
      <c r="M48" s="4552"/>
      <c r="N48" s="915" t="str">
        <f>FHD_NOTE_P_12</f>
        <v/>
      </c>
      <c r="O48" s="2262" t="str">
        <f>IF((LEN(E48)-LEN(SUBSTITUTE(E48,".","")))/LEN(".")=1,"p","")</f>
        <v>p</v>
      </c>
      <c r="P48" s="2262"/>
      <c r="Q48" s="2262"/>
      <c r="V48" s="2262"/>
      <c r="Y48" s="1170"/>
      <c r="AE48" s="2258"/>
      <c r="AF48" s="2258"/>
      <c r="AG48" s="2258"/>
      <c r="AH48" s="2258"/>
      <c r="AI48" s="2258"/>
      <c r="AJ48" s="1786">
        <v>18</v>
      </c>
    </row>
    <row s="35822" customFormat="1" customHeight="1" ht="11.549999999999999">
      <c r="A49" s="1614"/>
      <c r="C49" s="1356"/>
      <c r="D49" s="1299"/>
      <c r="E49" s="1172" t="str">
        <f>FHD_NUM_P_13</f>
        <v>2.6</v>
      </c>
      <c r="F49" s="21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504" t="s">
        <v>570</v>
      </c>
      <c r="H49" s="1183"/>
      <c r="I49" s="1183"/>
      <c r="J49" s="4521"/>
      <c r="K49" s="4521"/>
      <c r="L49" s="4521"/>
      <c r="M49" s="4521"/>
      <c r="N49" s="915" t="str">
        <f>FHD_NOTE_P_13</f>
        <v/>
      </c>
      <c r="O49" s="2262" t="str">
        <f>IF((LEN(E49)-LEN(SUBSTITUTE(E49,".","")))/LEN(".")=1,"p","")</f>
        <v>p</v>
      </c>
      <c r="P49" s="1356"/>
      <c r="Q49" s="1356"/>
      <c r="V49" s="1356"/>
      <c r="Y49" s="1357"/>
      <c r="AE49" s="1358"/>
      <c r="AF49" s="1358"/>
      <c r="AG49" s="1358"/>
      <c r="AH49" s="1358"/>
      <c r="AI49" s="1358"/>
      <c r="AJ49" s="1355">
        <v>11</v>
      </c>
    </row>
    <row s="35822" customFormat="1" customHeight="1" ht="11.549999999999999">
      <c r="A50" s="1614"/>
      <c r="C50" s="1356"/>
      <c r="D50" s="1299"/>
      <c r="E50" s="1172" t="str">
        <f>FHD_NUM_P_14</f>
        <v>2.6.1</v>
      </c>
      <c r="F50" s="2276" t="str">
        <f>FHD_P_14</f>
        <v>Расходы на оплату труда основного производственного персонала</v>
      </c>
      <c r="G50" s="2504" t="s">
        <v>570</v>
      </c>
      <c r="H50" s="1183"/>
      <c r="I50" s="1183"/>
      <c r="J50" s="4521"/>
      <c r="K50" s="4521"/>
      <c r="L50" s="4521"/>
      <c r="M50" s="4521"/>
      <c r="N50" s="915" t="str">
        <f>FHD_NOTE_P_14</f>
        <v/>
      </c>
      <c r="O50" s="2262" t="str">
        <f>IF((LEN(E50)-LEN(SUBSTITUTE(E50,".","")))/LEN(".")=1,"p","")</f>
        <v/>
      </c>
      <c r="P50" s="1356"/>
      <c r="Q50" s="1356"/>
      <c r="V50" s="1356"/>
      <c r="Y50" s="1357"/>
      <c r="AE50" s="1358"/>
      <c r="AF50" s="1358"/>
      <c r="AG50" s="1358"/>
      <c r="AH50" s="1358"/>
      <c r="AI50" s="1358"/>
      <c r="AJ50" s="1355">
        <v>11</v>
      </c>
    </row>
    <row s="35822" customFormat="1" customHeight="1" ht="11.549999999999999">
      <c r="A51" s="1614"/>
      <c r="C51" s="1356"/>
      <c r="D51" s="1299"/>
      <c r="E51" s="1172" t="str">
        <f>FHD_NUM_P_15</f>
        <v>2.6.2</v>
      </c>
      <c r="F51" s="2276"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2504" t="s">
        <v>570</v>
      </c>
      <c r="H51" s="1183"/>
      <c r="I51" s="1183"/>
      <c r="J51" s="4521"/>
      <c r="K51" s="4521"/>
      <c r="L51" s="4521"/>
      <c r="M51" s="4521"/>
      <c r="N51" s="915" t="str">
        <f>FHD_NOTE_P_15</f>
        <v/>
      </c>
      <c r="O51" s="2262" t="str">
        <f>IF((LEN(E51)-LEN(SUBSTITUTE(E51,".","")))/LEN(".")=1,"p","")</f>
        <v/>
      </c>
      <c r="P51" s="1356"/>
      <c r="Q51" s="1356"/>
      <c r="V51" s="1356"/>
      <c r="Y51" s="1357"/>
      <c r="AE51" s="1358"/>
      <c r="AF51" s="1358"/>
      <c r="AG51" s="1358"/>
      <c r="AH51" s="1358"/>
      <c r="AI51" s="1358"/>
      <c r="AJ51" s="1355">
        <v>11</v>
      </c>
    </row>
    <row s="34657" customFormat="1" customHeight="1" ht="11.549999999999999">
      <c r="A52" s="1613"/>
      <c r="C52" s="2262"/>
      <c r="D52" s="2264"/>
      <c r="E52" s="1172" t="str">
        <f>FHD_NUM_P_16</f>
        <v>2.7</v>
      </c>
      <c r="F52" s="21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2504" t="s">
        <v>570</v>
      </c>
      <c r="H52" s="1183"/>
      <c r="I52" s="1183"/>
      <c r="J52" s="4521"/>
      <c r="K52" s="4521"/>
      <c r="L52" s="4521"/>
      <c r="M52" s="4521"/>
      <c r="N52" s="915" t="str">
        <f>FHD_NOTE_P_16</f>
        <v/>
      </c>
      <c r="O52" s="2262" t="str">
        <f>IF((LEN(E52)-LEN(SUBSTITUTE(E52,".","")))/LEN(".")=1,"p","")</f>
        <v>p</v>
      </c>
      <c r="P52" s="2262"/>
      <c r="Q52" s="2268"/>
      <c r="R52" s="1163"/>
      <c r="S52" s="1163"/>
      <c r="V52" s="2262"/>
      <c r="Y52" s="1170"/>
      <c r="AE52" s="2258"/>
      <c r="AF52" s="2258"/>
      <c r="AG52" s="2258"/>
      <c r="AH52" s="2258"/>
      <c r="AI52" s="2258"/>
      <c r="AJ52" s="1786">
        <v>11</v>
      </c>
    </row>
    <row s="34657" customFormat="1" customHeight="1" ht="11.549999999999999">
      <c r="A53" s="1613"/>
      <c r="C53" s="2262"/>
      <c r="D53" s="2264"/>
      <c r="E53" s="1172" t="str">
        <f>FHD_NUM_P_17</f>
        <v>2.7.1</v>
      </c>
      <c r="F53" s="2276" t="str">
        <f>FHD_P_17</f>
        <v>Расходы на оплату труда административно-управленческого персонала</v>
      </c>
      <c r="G53" s="2504" t="s">
        <v>570</v>
      </c>
      <c r="H53" s="1183"/>
      <c r="I53" s="1183"/>
      <c r="J53" s="4521"/>
      <c r="K53" s="4521"/>
      <c r="L53" s="4521"/>
      <c r="M53" s="4521"/>
      <c r="N53" s="915" t="str">
        <f>FHD_NOTE_P_17</f>
        <v/>
      </c>
      <c r="O53" s="2262" t="str">
        <f>IF((LEN(E53)-LEN(SUBSTITUTE(E53,".","")))/LEN(".")=1,"p","")</f>
        <v/>
      </c>
      <c r="P53" s="2262"/>
      <c r="Q53" s="2268"/>
      <c r="R53" s="1163"/>
      <c r="S53" s="1163"/>
      <c r="V53" s="2262"/>
      <c r="Y53" s="1170"/>
      <c r="AE53" s="2258"/>
      <c r="AF53" s="2258"/>
      <c r="AG53" s="2258"/>
      <c r="AH53" s="2258"/>
      <c r="AI53" s="2258"/>
      <c r="AJ53" s="1786">
        <v>11</v>
      </c>
    </row>
    <row s="34657" customFormat="1" customHeight="1" ht="11.549999999999999">
      <c r="A54" s="1613"/>
      <c r="C54" s="2262"/>
      <c r="D54" s="2264"/>
      <c r="E54" s="1172" t="str">
        <f>FHD_NUM_P_18</f>
        <v>2.7.2</v>
      </c>
      <c r="F54" s="2276"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2504" t="s">
        <v>570</v>
      </c>
      <c r="H54" s="1183"/>
      <c r="I54" s="1183"/>
      <c r="J54" s="4521"/>
      <c r="K54" s="4521"/>
      <c r="L54" s="4521"/>
      <c r="M54" s="4521"/>
      <c r="N54" s="915" t="str">
        <f>FHD_NOTE_P_18</f>
        <v/>
      </c>
      <c r="O54" s="2262" t="str">
        <f>IF((LEN(E54)-LEN(SUBSTITUTE(E54,".","")))/LEN(".")=1,"p","")</f>
        <v/>
      </c>
      <c r="P54" s="2262"/>
      <c r="Q54" s="2268"/>
      <c r="R54" s="1163"/>
      <c r="S54" s="1163"/>
      <c r="V54" s="2262"/>
      <c r="Y54" s="1170"/>
      <c r="AE54" s="2258"/>
      <c r="AF54" s="2258"/>
      <c r="AG54" s="2258"/>
      <c r="AH54" s="2258"/>
      <c r="AI54" s="2258"/>
      <c r="AJ54" s="1786">
        <v>11</v>
      </c>
    </row>
    <row s="34657" customFormat="1" customHeight="1" ht="11.549999999999999">
      <c r="A55" s="1613"/>
      <c r="C55" s="2262"/>
      <c r="D55" s="1201"/>
      <c r="E55" s="1172" t="str">
        <f>FHD_NUM_P_19</f>
        <v>2.8</v>
      </c>
      <c r="F55" s="2150" t="str">
        <f>FHD_P_19</f>
        <v>Расходы на амортизацию основных средств и нематериальных активов</v>
      </c>
      <c r="G55" s="2504" t="s">
        <v>570</v>
      </c>
      <c r="H55" s="1183"/>
      <c r="I55" s="1183"/>
      <c r="J55" s="4521"/>
      <c r="K55" s="4521"/>
      <c r="L55" s="4521"/>
      <c r="M55" s="4521"/>
      <c r="N55" s="915" t="str">
        <f>FHD_NOTE_P_19</f>
        <v/>
      </c>
      <c r="O55" s="2262" t="str">
        <f>IF((LEN(E55)-LEN(SUBSTITUTE(E55,".","")))/LEN(".")=1,"p","")</f>
        <v>p</v>
      </c>
      <c r="P55" s="2262"/>
      <c r="Q55" s="2262"/>
      <c r="V55" s="2262"/>
      <c r="Y55" s="1170"/>
      <c r="AE55" s="2258"/>
      <c r="AF55" s="2258"/>
      <c r="AG55" s="2258"/>
      <c r="AH55" s="2258"/>
      <c r="AI55" s="2258"/>
      <c r="AJ55" s="1786">
        <v>11</v>
      </c>
    </row>
    <row s="34657" customFormat="1" customHeight="1" ht="11.549999999999999">
      <c r="A56" s="1613"/>
      <c r="C56" s="2262"/>
      <c r="D56" s="1201"/>
      <c r="E56" s="1172" t="str">
        <f>FHD_NUM_P_20</f>
        <v>2.8.1</v>
      </c>
      <c r="F56" s="2276" t="str">
        <f>FHD_P_20</f>
        <v>Расходы на амортизацию основных средств</v>
      </c>
      <c r="G56" s="2504" t="s">
        <v>570</v>
      </c>
      <c r="H56" s="1183"/>
      <c r="I56" s="1183"/>
      <c r="J56" s="4521"/>
      <c r="K56" s="4521"/>
      <c r="L56" s="4521"/>
      <c r="M56" s="4521"/>
      <c r="N56" s="915" t="str">
        <f>FHD_NOTE_P_20</f>
        <v/>
      </c>
      <c r="O56" s="2262" t="str">
        <f>IF((LEN(E56)-LEN(SUBSTITUTE(E56,".","")))/LEN(".")=1,"p","")</f>
        <v/>
      </c>
      <c r="P56" s="2262"/>
      <c r="Q56" s="2262"/>
      <c r="V56" s="2262"/>
      <c r="Y56" s="1170"/>
      <c r="AE56" s="2258"/>
      <c r="AF56" s="2258"/>
      <c r="AG56" s="2258"/>
      <c r="AH56" s="2258"/>
      <c r="AI56" s="2258"/>
      <c r="AJ56" s="1786">
        <v>11</v>
      </c>
    </row>
    <row s="34657" customFormat="1" customHeight="1" ht="11.549999999999999">
      <c r="A57" s="1613"/>
      <c r="C57" s="2262"/>
      <c r="D57" s="1201"/>
      <c r="E57" s="1172" t="str">
        <f>FHD_NUM_P_21</f>
        <v>2.8.2</v>
      </c>
      <c r="F57" s="2276" t="str">
        <f>FHD_P_21</f>
        <v>Расходы на амортизацию нематериальных активов</v>
      </c>
      <c r="G57" s="2504" t="s">
        <v>570</v>
      </c>
      <c r="H57" s="1183"/>
      <c r="I57" s="1183"/>
      <c r="J57" s="4521"/>
      <c r="K57" s="4521"/>
      <c r="L57" s="4521"/>
      <c r="M57" s="4521"/>
      <c r="N57" s="915" t="str">
        <f>FHD_NOTE_P_21</f>
        <v/>
      </c>
      <c r="O57" s="2262" t="str">
        <f>IF((LEN(E57)-LEN(SUBSTITUTE(E57,".","")))/LEN(".")=1,"p","")</f>
        <v/>
      </c>
      <c r="P57" s="2262"/>
      <c r="Q57" s="2262"/>
      <c r="V57" s="2262"/>
      <c r="Y57" s="1170"/>
      <c r="AE57" s="2258"/>
      <c r="AF57" s="2258"/>
      <c r="AG57" s="2258"/>
      <c r="AH57" s="2258"/>
      <c r="AI57" s="2258"/>
      <c r="AJ57" s="1786">
        <v>11</v>
      </c>
    </row>
    <row s="34657" customFormat="1" customHeight="1" ht="11.549999999999999">
      <c r="A58" s="1613"/>
      <c r="C58" s="2262"/>
      <c r="D58" s="2264"/>
      <c r="E58" s="1172" t="str">
        <f>FHD_NUM_P_22</f>
        <v>2.9</v>
      </c>
      <c r="F58" s="2150" t="str">
        <f>FHD_P_22</f>
        <v>Расходы на аренду имущества, используемого для осуществления регулируемого вида деятельности</v>
      </c>
      <c r="G58" s="2504" t="s">
        <v>570</v>
      </c>
      <c r="H58" s="1183"/>
      <c r="I58" s="1183"/>
      <c r="J58" s="4521"/>
      <c r="K58" s="4521"/>
      <c r="L58" s="4521"/>
      <c r="M58" s="4521"/>
      <c r="N58" s="915" t="str">
        <f>FHD_NOTE_P_22</f>
        <v/>
      </c>
      <c r="O58" s="2262" t="str">
        <f>IF((LEN(E58)-LEN(SUBSTITUTE(E58,".","")))/LEN(".")=1,"p","")</f>
        <v>p</v>
      </c>
      <c r="P58" s="2262"/>
      <c r="Q58" s="2262"/>
      <c r="V58" s="2262"/>
      <c r="Y58" s="1170"/>
      <c r="AE58" s="2258"/>
      <c r="AF58" s="2258"/>
      <c r="AG58" s="2258"/>
      <c r="AH58" s="2258"/>
      <c r="AI58" s="2258"/>
      <c r="AJ58" s="1786">
        <v>11</v>
      </c>
    </row>
    <row s="34657" customFormat="1" customHeight="1" ht="11.549999999999999">
      <c r="A59" s="1613"/>
      <c r="C59" s="2262"/>
      <c r="D59" s="1201"/>
      <c r="E59" s="1172" t="str">
        <f>FHD_NUM_P_23</f>
        <v>2.10</v>
      </c>
      <c r="F59" s="2150" t="str">
        <f>FHD_P_23</f>
        <v>Общепроизводственные расходы, в том числе:</v>
      </c>
      <c r="G59" s="2504" t="s">
        <v>570</v>
      </c>
      <c r="H59" s="1183"/>
      <c r="I59" s="1183"/>
      <c r="J59" s="4521"/>
      <c r="K59" s="4521"/>
      <c r="L59" s="4521"/>
      <c r="M59" s="4521"/>
      <c r="N59" s="915" t="str">
        <f>FHD_NOTE_P_23</f>
        <v>Указывается общая сумма общепроизводственных расходов.</v>
      </c>
      <c r="O59" s="2262" t="str">
        <f>IF((LEN(E59)-LEN(SUBSTITUTE(E59,".","")))/LEN(".")=1,"p","")</f>
        <v>p</v>
      </c>
      <c r="P59" s="2262"/>
      <c r="Q59" s="2262"/>
      <c r="V59" s="2262"/>
      <c r="Y59" s="1170"/>
      <c r="AE59" s="2258"/>
      <c r="AF59" s="2258"/>
      <c r="AG59" s="2258"/>
      <c r="AH59" s="2258"/>
      <c r="AI59" s="2258"/>
      <c r="AJ59" s="1786">
        <v>11</v>
      </c>
    </row>
    <row s="34657" customFormat="1" customHeight="1" ht="11.549999999999999">
      <c r="A60" s="1613"/>
      <c r="C60" s="2262"/>
      <c r="D60" s="1201"/>
      <c r="E60" s="1172" t="str">
        <f>FHD_NUM_P_24</f>
        <v>2.10.1</v>
      </c>
      <c r="F60" s="2276" t="str">
        <f>FHD_P_24</f>
        <v>Расходы на текущий ремонт</v>
      </c>
      <c r="G60" s="2504" t="s">
        <v>570</v>
      </c>
      <c r="H60" s="1183"/>
      <c r="I60" s="1183"/>
      <c r="J60" s="4521"/>
      <c r="K60" s="4521"/>
      <c r="L60" s="4521"/>
      <c r="M60" s="4521"/>
      <c r="N60" s="915" t="str">
        <f>FHD_NOTE_P_24</f>
        <v>Указываются расходы на текущий ремонт, отнесенные к общепроизводственным расходам.</v>
      </c>
      <c r="O60" s="2262" t="str">
        <f>IF((LEN(E60)-LEN(SUBSTITUTE(E60,".","")))/LEN(".")=1,"p","")</f>
        <v/>
      </c>
      <c r="P60" s="2262"/>
      <c r="Q60" s="2262"/>
      <c r="V60" s="2262"/>
      <c r="Y60" s="1170"/>
      <c r="AE60" s="2258"/>
      <c r="AF60" s="2258"/>
      <c r="AG60" s="2258"/>
      <c r="AH60" s="2258"/>
      <c r="AI60" s="2258"/>
      <c r="AJ60" s="1786">
        <v>11</v>
      </c>
    </row>
    <row s="34657" customFormat="1" customHeight="1" ht="11.549999999999999">
      <c r="A61" s="1613"/>
      <c r="C61" s="2262"/>
      <c r="D61" s="1201"/>
      <c r="E61" s="1172" t="str">
        <f>FHD_NUM_P_25</f>
        <v>2.10.2</v>
      </c>
      <c r="F61" s="2276" t="str">
        <f>FHD_P_25</f>
        <v>Расходы на капитальный ремонт</v>
      </c>
      <c r="G61" s="2504" t="s">
        <v>570</v>
      </c>
      <c r="H61" s="1183"/>
      <c r="I61" s="1183"/>
      <c r="J61" s="4521"/>
      <c r="K61" s="4521"/>
      <c r="L61" s="4521"/>
      <c r="M61" s="4521"/>
      <c r="N61" s="915" t="str">
        <f>FHD_NOTE_P_25</f>
        <v>Указываются расходы на капитальный ремонт, отнесенные к общепроизводственным расходам.</v>
      </c>
      <c r="O61" s="2262" t="str">
        <f>IF((LEN(E61)-LEN(SUBSTITUTE(E61,".","")))/LEN(".")=1,"p","")</f>
        <v/>
      </c>
      <c r="P61" s="2262"/>
      <c r="Q61" s="2262"/>
      <c r="V61" s="2262"/>
      <c r="Y61" s="1170"/>
      <c r="AE61" s="2258"/>
      <c r="AF61" s="2258"/>
      <c r="AG61" s="2258"/>
      <c r="AH61" s="2258"/>
      <c r="AI61" s="2258"/>
      <c r="AJ61" s="1786">
        <v>11</v>
      </c>
    </row>
    <row s="34657" customFormat="1" customHeight="1" ht="11.549999999999999">
      <c r="A62" s="1613"/>
      <c r="C62" s="2262"/>
      <c r="D62" s="2264"/>
      <c r="E62" s="1172" t="str">
        <f>FHD_NUM_P_26</f>
        <v>2.11</v>
      </c>
      <c r="F62" s="2150" t="str">
        <f>FHD_P_26</f>
        <v>Общехозяйственные расходы, в том числе:</v>
      </c>
      <c r="G62" s="2504" t="s">
        <v>570</v>
      </c>
      <c r="H62" s="1183"/>
      <c r="I62" s="1183"/>
      <c r="J62" s="4521"/>
      <c r="K62" s="4521"/>
      <c r="L62" s="4521"/>
      <c r="M62" s="4521"/>
      <c r="N62" s="915" t="str">
        <f>FHD_NOTE_P_26</f>
        <v>Указывается общая сумма общехозяйственных расходов.</v>
      </c>
      <c r="O62" s="2262" t="str">
        <f>IF((LEN(E62)-LEN(SUBSTITUTE(E62,".","")))/LEN(".")=1,"p","")</f>
        <v>p</v>
      </c>
      <c r="P62" s="2262"/>
      <c r="Q62" s="2262"/>
      <c r="V62" s="2262"/>
      <c r="Y62" s="1170"/>
      <c r="AE62" s="2258"/>
      <c r="AF62" s="2258"/>
      <c r="AG62" s="2258"/>
      <c r="AH62" s="2258"/>
      <c r="AI62" s="2258"/>
      <c r="AJ62" s="1786">
        <v>11</v>
      </c>
    </row>
    <row s="34657" customFormat="1" customHeight="1" ht="11.549999999999999">
      <c r="A63" s="1613"/>
      <c r="C63" s="2262"/>
      <c r="D63" s="2264"/>
      <c r="E63" s="1172" t="str">
        <f>FHD_NUM_P_27</f>
        <v>2.11.1</v>
      </c>
      <c r="F63" s="2276" t="str">
        <f>FHD_P_27</f>
        <v>Расходы на текущий ремонт</v>
      </c>
      <c r="G63" s="2504" t="s">
        <v>570</v>
      </c>
      <c r="H63" s="1183"/>
      <c r="I63" s="1183"/>
      <c r="J63" s="4521"/>
      <c r="K63" s="4521"/>
      <c r="L63" s="4521"/>
      <c r="M63" s="4521"/>
      <c r="N63" s="915" t="str">
        <f>FHD_NOTE_P_27</f>
        <v>Указываются расходы на текущий ремонт, отнесенные к общехозяйственным расходам.</v>
      </c>
      <c r="O63" s="2262" t="str">
        <f>IF((LEN(E63)-LEN(SUBSTITUTE(E63,".","")))/LEN(".")=1,"p","")</f>
        <v/>
      </c>
      <c r="P63" s="2262"/>
      <c r="Q63" s="2262"/>
      <c r="V63" s="2262"/>
      <c r="Y63" s="1170"/>
      <c r="AE63" s="2258"/>
      <c r="AF63" s="2258"/>
      <c r="AG63" s="2258"/>
      <c r="AH63" s="2258"/>
      <c r="AI63" s="2258"/>
      <c r="AJ63" s="1786">
        <v>11</v>
      </c>
    </row>
    <row s="34657" customFormat="1" customHeight="1" ht="11.549999999999999">
      <c r="A64" s="1613"/>
      <c r="C64" s="2262"/>
      <c r="D64" s="2264"/>
      <c r="E64" s="1172" t="str">
        <f>FHD_NUM_P_28</f>
        <v>2.11.2</v>
      </c>
      <c r="F64" s="2276" t="str">
        <f>FHD_P_28</f>
        <v>Расходы на капитальный ремонт</v>
      </c>
      <c r="G64" s="2504" t="s">
        <v>570</v>
      </c>
      <c r="H64" s="1183"/>
      <c r="I64" s="1183"/>
      <c r="J64" s="4521"/>
      <c r="K64" s="4521"/>
      <c r="L64" s="4521"/>
      <c r="M64" s="4521"/>
      <c r="N64" s="915" t="str">
        <f>FHD_NOTE_P_28</f>
        <v>Указываются расходы на капитальный ремонт, отнесенные к общехозяйственным расходам.</v>
      </c>
      <c r="O64" s="2262" t="str">
        <f>IF((LEN(E64)-LEN(SUBSTITUTE(E64,".","")))/LEN(".")=1,"p","")</f>
        <v/>
      </c>
      <c r="P64" s="2262"/>
      <c r="Q64" s="2262"/>
      <c r="V64" s="2262"/>
      <c r="Y64" s="1170"/>
      <c r="AE64" s="2258"/>
      <c r="AF64" s="2258"/>
      <c r="AG64" s="2258"/>
      <c r="AH64" s="2258"/>
      <c r="AI64" s="2258"/>
      <c r="AJ64" s="1786">
        <v>11</v>
      </c>
    </row>
    <row s="34657" customFormat="1" customHeight="1" ht="11.549999999999999">
      <c r="A65" s="1613"/>
      <c r="C65" s="2262"/>
      <c r="D65" s="2264"/>
      <c r="E65" s="1172" t="str">
        <f>FHD_NUM_P_29</f>
        <v>2.12</v>
      </c>
      <c r="F65" s="2150" t="str">
        <f>FHD_P_29</f>
        <v>Расходы на капитальный и текущий ремонт основных производственных средств</v>
      </c>
      <c r="G65" s="2504" t="s">
        <v>570</v>
      </c>
      <c r="H65" s="1183"/>
      <c r="I65" s="1183"/>
      <c r="J65" s="4521"/>
      <c r="K65" s="4521"/>
      <c r="L65" s="4521"/>
      <c r="M65" s="4521"/>
      <c r="N65" s="91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65" s="2262" t="str">
        <f>IF((LEN(E65)-LEN(SUBSTITUTE(E65,".","")))/LEN(".")=1,"p","")</f>
        <v>p</v>
      </c>
      <c r="P65" s="2262"/>
      <c r="Q65" s="2262"/>
      <c r="V65" s="2262"/>
      <c r="Y65" s="1170"/>
      <c r="AE65" s="2258"/>
      <c r="AF65" s="2258"/>
      <c r="AG65" s="2258"/>
      <c r="AH65" s="2258"/>
      <c r="AI65" s="2258"/>
      <c r="AJ65" s="1786">
        <v>11</v>
      </c>
    </row>
    <row s="34657" customFormat="1" customHeight="1" ht="11.549999999999999">
      <c r="A66" s="1613"/>
      <c r="C66" s="2262"/>
      <c r="D66" s="2264"/>
      <c r="E66" s="1172" t="str">
        <f>FHD_NUM_P_30</f>
        <v>2.12.1</v>
      </c>
      <c r="F66" s="22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504" t="s">
        <v>324</v>
      </c>
      <c r="H66" s="2275" t="s">
        <v>593</v>
      </c>
      <c r="I66" s="2275" t="s">
        <v>593</v>
      </c>
      <c r="J66" s="4558" t="s">
        <v>593</v>
      </c>
      <c r="K66" s="4558" t="s">
        <v>593</v>
      </c>
      <c r="L66" s="4558" t="s">
        <v>593</v>
      </c>
      <c r="M66" s="4558" t="s">
        <v>593</v>
      </c>
      <c r="N66" s="915" t="str">
        <f>FHD_NOTE_P_30</f>
        <v/>
      </c>
      <c r="O66" s="2262" t="str">
        <f>IF((LEN(E66)-LEN(SUBSTITUTE(E66,".","")))/LEN(".")=1,"p","")</f>
        <v/>
      </c>
      <c r="P66" s="2262">
        <f>_xlfn.IFERROR(MATCH("есть",B_FHD_FLAG_INDEX_1,0),0)</f>
        <v>0</v>
      </c>
      <c r="Q66" s="2262"/>
      <c r="V66" s="2262"/>
      <c r="Y66" s="1170"/>
      <c r="AE66" s="2258"/>
      <c r="AF66" s="2258"/>
      <c r="AG66" s="2258"/>
      <c r="AH66" s="2258"/>
      <c r="AI66" s="2258"/>
      <c r="AJ66" s="1786">
        <v>11</v>
      </c>
    </row>
    <row s="34657" customFormat="1" customHeight="1" ht="23.25" hidden="1">
      <c r="A67" s="2997" t="s">
        <v>594</v>
      </c>
      <c r="C67" s="2262"/>
      <c r="D67" s="2264"/>
      <c r="E67" s="1172" t="str">
        <f>FHD_NUM_P_31</f>
        <v/>
      </c>
      <c r="F67" s="2150" t="str">
        <f>FHD_P_31</f>
        <v/>
      </c>
      <c r="G67" s="2504" t="s">
        <v>570</v>
      </c>
      <c r="H67" s="1183"/>
      <c r="I67" s="1183"/>
      <c r="J67" s="4521"/>
      <c r="K67" s="4521"/>
      <c r="L67" s="4521"/>
      <c r="M67" s="4521"/>
      <c r="N67" s="915" t="str">
        <f>FHD_NOTE_P_31</f>
        <v/>
      </c>
      <c r="O67" s="2262" t="str">
        <f>IF((LEN(E67)-LEN(SUBSTITUTE(E67,".","")))/LEN(".")=1,"p","")</f>
        <v/>
      </c>
      <c r="P67" s="2262"/>
      <c r="Q67" s="2262"/>
      <c r="V67" s="2262"/>
      <c r="Y67" s="1170"/>
      <c r="AE67" s="2258"/>
      <c r="AF67" s="2258"/>
      <c r="AG67" s="2258"/>
      <c r="AH67" s="2258"/>
      <c r="AI67" s="2258"/>
      <c r="AJ67" s="1786">
        <v>22</v>
      </c>
    </row>
    <row s="34657" customFormat="1" customHeight="1" ht="47.25" hidden="1">
      <c r="A68" s="2997"/>
      <c r="C68" s="2262"/>
      <c r="D68" s="2264"/>
      <c r="E68" s="1172" t="str">
        <f>FHD_NUM_P_32</f>
        <v/>
      </c>
      <c r="F68" s="2276" t="str">
        <f>FHD_P_32</f>
        <v/>
      </c>
      <c r="G68" s="2504" t="s">
        <v>324</v>
      </c>
      <c r="H68" s="2275" t="s">
        <v>593</v>
      </c>
      <c r="I68" s="2275" t="s">
        <v>593</v>
      </c>
      <c r="J68" s="4558" t="s">
        <v>593</v>
      </c>
      <c r="K68" s="4558" t="s">
        <v>593</v>
      </c>
      <c r="L68" s="4558" t="s">
        <v>593</v>
      </c>
      <c r="M68" s="4558" t="s">
        <v>593</v>
      </c>
      <c r="N68" s="915" t="str">
        <f>FHD_NOTE_P_32</f>
        <v/>
      </c>
      <c r="O68" s="2262" t="str">
        <f>IF((LEN(E68)-LEN(SUBSTITUTE(E68,".","")))/LEN(".")=1,"p","")</f>
        <v/>
      </c>
      <c r="P68" s="2262">
        <f>_xlfn.IFERROR(MATCH("есть",B_FHD_FLAG_INDEX_2,0),0)</f>
        <v>0</v>
      </c>
      <c r="Q68" s="2262"/>
      <c r="V68" s="2262"/>
      <c r="Y68" s="1170"/>
      <c r="AE68" s="2258"/>
      <c r="AF68" s="2258"/>
      <c r="AG68" s="2258"/>
      <c r="AH68" s="2258"/>
      <c r="AI68" s="2258"/>
      <c r="AJ68" s="1786">
        <v>45</v>
      </c>
    </row>
    <row s="34657" customFormat="1" customHeight="1" ht="11.549999999999999">
      <c r="A69" s="1613"/>
      <c r="C69" s="2262"/>
      <c r="D69" s="2264"/>
      <c r="E69" s="1172" t="str">
        <f>FHD_NUM_P_33</f>
        <v>2.13</v>
      </c>
      <c r="F69" s="21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2505" t="s">
        <v>570</v>
      </c>
      <c r="H69" s="1205">
        <f>SUM(H70:H71)</f>
        <v>0</v>
      </c>
      <c r="I69" s="1205">
        <f>SUM(I70:I71)</f>
        <v>0</v>
      </c>
      <c r="J69" s="4561">
        <f>SUM(J70:J71)</f>
        <v>0</v>
      </c>
      <c r="K69" s="4561">
        <f>SUM(K70:K71)</f>
        <v>0</v>
      </c>
      <c r="L69" s="4561">
        <f>SUM(L70:L71)</f>
        <v>0</v>
      </c>
      <c r="M69" s="4561">
        <f>SUM(M70:M71)</f>
        <v>0</v>
      </c>
      <c r="N69" s="91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69" s="2262" t="str">
        <f>IF((LEN(E69)-LEN(SUBSTITUTE(E69,".","")))/LEN(".")=1,"p","")</f>
        <v>p</v>
      </c>
      <c r="P69" s="2262"/>
      <c r="Q69" s="2262"/>
      <c r="V69" s="2262"/>
      <c r="Y69" s="1170"/>
      <c r="AE69" s="2258"/>
      <c r="AF69" s="2258"/>
      <c r="AG69" s="2258"/>
      <c r="AH69" s="2258"/>
      <c r="AI69" s="2258"/>
      <c r="AJ69" s="1786">
        <v>11</v>
      </c>
    </row>
    <row s="34658" customFormat="1" customHeight="1" ht="1.05">
      <c r="A70" s="1793"/>
      <c r="D70" s="1174"/>
      <c r="E70" s="1639" t="str">
        <f>E69&amp;".0"</f>
        <v>2.13.0</v>
      </c>
      <c r="F70" s="1617"/>
      <c r="G70" s="1639"/>
      <c r="H70" s="1618"/>
      <c r="I70" s="1618"/>
      <c r="J70" s="4564"/>
      <c r="K70" s="4564"/>
      <c r="L70" s="4564"/>
      <c r="M70" s="4564"/>
      <c r="N70" s="1619"/>
      <c r="O70" s="2262" t="str">
        <f>IF((LEN(E70)-LEN(SUBSTITUTE(E70,".","")))/LEN(".")=1,"p","")</f>
        <v/>
      </c>
      <c r="AJ70" s="2262">
        <v>1</v>
      </c>
    </row>
    <row s="34657" customFormat="1" customHeight="1" ht="14.699999999999998">
      <c r="A71" s="1613"/>
      <c r="C71" s="2262"/>
      <c r="D71" s="2259"/>
      <c r="E71" s="1196"/>
      <c r="F71" s="1197" t="s">
        <v>595</v>
      </c>
      <c r="G71" s="1198"/>
      <c r="H71" s="1199"/>
      <c r="I71" s="1199"/>
      <c r="J71" s="4566"/>
      <c r="K71" s="4567"/>
      <c r="L71" s="4568"/>
      <c r="M71" s="4569"/>
      <c r="N71" s="927"/>
      <c r="O71" s="2262"/>
      <c r="P71" s="2262"/>
      <c r="Q71" s="2262"/>
      <c r="V71" s="2262"/>
      <c r="Y71" s="1170"/>
      <c r="AE71" s="2258"/>
      <c r="AF71" s="2258"/>
      <c r="AG71" s="2258"/>
      <c r="AH71" s="2258"/>
      <c r="AI71" s="2258"/>
      <c r="AJ71" s="1786">
        <v>14</v>
      </c>
    </row>
    <row s="34657" customFormat="1" customHeight="1" ht="18.75">
      <c r="A72" s="1615" t="s">
        <v>596</v>
      </c>
      <c r="C72" s="2262"/>
      <c r="D72" s="2264"/>
      <c r="E72" s="1172" t="str">
        <f>FHD_NUM_P_34</f>
        <v>3</v>
      </c>
      <c r="F72" s="2506" t="str">
        <f>FHD_P_34</f>
        <v>Валовая прибыль (убытки) от реализации товаров и оказания услуг по регулируемому виду деятельности</v>
      </c>
      <c r="G72" s="2504" t="s">
        <v>570</v>
      </c>
      <c r="H72" s="1183"/>
      <c r="I72" s="1183"/>
      <c r="J72" s="4521"/>
      <c r="K72" s="4521"/>
      <c r="L72" s="4521"/>
      <c r="M72" s="4521"/>
      <c r="N72" s="915" t="str">
        <f>FHD_NOTE_P_34</f>
        <v/>
      </c>
      <c r="O72" s="1169"/>
      <c r="P72" s="2262"/>
      <c r="Q72" s="2262"/>
      <c r="V72" s="2262"/>
      <c r="Y72" s="1170"/>
      <c r="AE72" s="2258"/>
      <c r="AF72" s="2258"/>
      <c r="AG72" s="2258"/>
      <c r="AH72" s="2258"/>
      <c r="AI72" s="2258"/>
      <c r="AJ72" s="1786">
        <v>0</v>
      </c>
    </row>
    <row s="34657" customFormat="1" customHeight="1" ht="19.95">
      <c r="A73" s="1613"/>
      <c r="C73" s="2262"/>
      <c r="D73" s="1201"/>
      <c r="E73" s="1172" t="str">
        <f>FHD_NUM_P_35</f>
        <v>4</v>
      </c>
      <c r="F73" s="2506" t="str">
        <f>FHD_P_35</f>
        <v>Чистая прибыль, полученная от регулируемого вида деятельности, в том числе:</v>
      </c>
      <c r="G73" s="2504" t="s">
        <v>570</v>
      </c>
      <c r="H73" s="1183"/>
      <c r="I73" s="1183"/>
      <c r="J73" s="4521"/>
      <c r="K73" s="4521"/>
      <c r="L73" s="4521"/>
      <c r="M73" s="4521"/>
      <c r="N73" s="915" t="str">
        <f>FHD_NOTE_P_35</f>
        <v>Указывается общая сумма чистой прибыли, полученной от регулируемого вида деятельности.</v>
      </c>
      <c r="O73" s="1169"/>
      <c r="P73" s="2262"/>
      <c r="Q73" s="2262"/>
      <c r="V73" s="2262"/>
      <c r="Y73" s="1170"/>
      <c r="AE73" s="2258"/>
      <c r="AF73" s="2258"/>
      <c r="AG73" s="2258"/>
      <c r="AH73" s="2258"/>
      <c r="AI73" s="2258"/>
      <c r="AJ73" s="1786">
        <v>19</v>
      </c>
    </row>
    <row s="34657" customFormat="1" customHeight="1" ht="19.95">
      <c r="A74" s="1613"/>
      <c r="C74" s="2262"/>
      <c r="D74" s="2264"/>
      <c r="E74" s="1172" t="str">
        <f>FHD_NUM_P_36</f>
        <v>4.1</v>
      </c>
      <c r="F74" s="21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504" t="s">
        <v>570</v>
      </c>
      <c r="H74" s="1183"/>
      <c r="I74" s="1183"/>
      <c r="J74" s="4521"/>
      <c r="K74" s="4521"/>
      <c r="L74" s="4521"/>
      <c r="M74" s="4521"/>
      <c r="N74" s="915" t="str">
        <f>FHD_NOTE_P_36</f>
        <v/>
      </c>
      <c r="O74" s="1169"/>
      <c r="P74" s="2262"/>
      <c r="Q74" s="2262"/>
      <c r="V74" s="2262"/>
      <c r="Y74" s="1170"/>
      <c r="AE74" s="2258"/>
      <c r="AF74" s="2258"/>
      <c r="AG74" s="2258"/>
      <c r="AH74" s="2258"/>
      <c r="AI74" s="2258"/>
      <c r="AJ74" s="1786">
        <v>19</v>
      </c>
    </row>
    <row s="34657" customFormat="1" customHeight="1" ht="19.95">
      <c r="A75" s="1613"/>
      <c r="C75" s="2262"/>
      <c r="D75" s="2264"/>
      <c r="E75" s="1172" t="str">
        <f>FHD_NUM_P_37</f>
        <v>5</v>
      </c>
      <c r="F75" s="2506" t="str">
        <f>FHD_P_37</f>
        <v>Изменение стоимости основных фондов, в том числе:</v>
      </c>
      <c r="G75" s="2504" t="s">
        <v>570</v>
      </c>
      <c r="H75" s="1183"/>
      <c r="I75" s="1183"/>
      <c r="J75" s="4521"/>
      <c r="K75" s="4521"/>
      <c r="L75" s="4521"/>
      <c r="M75" s="4521"/>
      <c r="N75" s="915" t="str">
        <f>FHD_NOTE_P_37</f>
        <v>Указывается общее изменение стоимости основных фондов.</v>
      </c>
      <c r="O75" s="1169"/>
      <c r="P75" s="2262"/>
      <c r="Q75" s="2262"/>
      <c r="V75" s="2262"/>
      <c r="Y75" s="1170"/>
      <c r="AE75" s="2258"/>
      <c r="AF75" s="2258"/>
      <c r="AG75" s="2258"/>
      <c r="AH75" s="2258"/>
      <c r="AI75" s="2258"/>
      <c r="AJ75" s="1786">
        <v>19</v>
      </c>
    </row>
    <row s="34657" customFormat="1" customHeight="1" ht="19.95">
      <c r="A76" s="1613"/>
      <c r="C76" s="2262"/>
      <c r="D76" s="2264"/>
      <c r="E76" s="1172" t="str">
        <f>FHD_NUM_P_38</f>
        <v>5.1</v>
      </c>
      <c r="F76" s="2150" t="str">
        <f>FHD_P_38</f>
        <v>за счет их ввода в эксплуатацию (вывода из эксплуатации)</v>
      </c>
      <c r="G76" s="2504" t="s">
        <v>570</v>
      </c>
      <c r="H76" s="1183"/>
      <c r="I76" s="1183"/>
      <c r="J76" s="4521"/>
      <c r="K76" s="4521"/>
      <c r="L76" s="4521"/>
      <c r="M76" s="4521"/>
      <c r="N76" s="915" t="str">
        <f>FHD_NOTE_P_38</f>
        <v>Указываются общее изменение стоимости основных фондов за счет их ввода в эксплуатацию и вывода из эксплуатации.</v>
      </c>
      <c r="O76" s="1169"/>
      <c r="P76" s="2262"/>
      <c r="Q76" s="2262"/>
      <c r="V76" s="2262"/>
      <c r="Y76" s="1170"/>
      <c r="AE76" s="2258"/>
      <c r="AF76" s="2258"/>
      <c r="AG76" s="2258"/>
      <c r="AH76" s="2258"/>
      <c r="AI76" s="2258"/>
      <c r="AJ76" s="1786">
        <v>19</v>
      </c>
    </row>
    <row s="34657" customFormat="1" customHeight="1" ht="19.95">
      <c r="A77" s="1613"/>
      <c r="C77" s="2262"/>
      <c r="D77" s="2264"/>
      <c r="E77" s="1172" t="str">
        <f>FHD_NUM_P_39</f>
        <v>5.1.1</v>
      </c>
      <c r="F77" s="2276" t="str">
        <f>FHD_P_39</f>
        <v>за счет их ввода в эксплуатацию</v>
      </c>
      <c r="G77" s="2698" t="s">
        <v>570</v>
      </c>
      <c r="H77" s="1183"/>
      <c r="I77" s="1183"/>
      <c r="J77" s="4521"/>
      <c r="K77" s="4521"/>
      <c r="L77" s="4521"/>
      <c r="M77" s="4521"/>
      <c r="N77" s="915" t="str">
        <f>FHD_NOTE_P_39</f>
        <v>Указываются изменение стоимости основных фондов за счет их ввода в эксплуатацию.</v>
      </c>
      <c r="O77" s="1169"/>
      <c r="P77" s="2262"/>
      <c r="Q77" s="2262"/>
      <c r="V77" s="2262"/>
      <c r="Y77" s="1170"/>
      <c r="AE77" s="2258"/>
      <c r="AF77" s="2258"/>
      <c r="AG77" s="2258"/>
      <c r="AH77" s="2258"/>
      <c r="AI77" s="2258"/>
      <c r="AJ77" s="1786">
        <v>19</v>
      </c>
    </row>
    <row s="34657" customFormat="1" customHeight="1" ht="19.95">
      <c r="A78" s="1613"/>
      <c r="C78" s="2262"/>
      <c r="D78" s="2264"/>
      <c r="E78" s="1172" t="str">
        <f>FHD_NUM_P_40</f>
        <v>5.1.2</v>
      </c>
      <c r="F78" s="2702" t="str">
        <f>FHD_P_40</f>
        <v>за счет их вывода в эксплуатацию</v>
      </c>
      <c r="G78" s="2697" t="s">
        <v>570</v>
      </c>
      <c r="H78" s="1602"/>
      <c r="I78" s="1183"/>
      <c r="J78" s="4574"/>
      <c r="K78" s="4574"/>
      <c r="L78" s="4574"/>
      <c r="M78" s="4574"/>
      <c r="N78" s="915" t="str">
        <f>FHD_NOTE_P_40</f>
        <v>Указываются изменение стоимости основных фондов за счет их вывода из эксплуатации.</v>
      </c>
      <c r="O78" s="1169"/>
      <c r="P78" s="2262"/>
      <c r="Q78" s="2262"/>
      <c r="V78" s="2262"/>
      <c r="Y78" s="1170"/>
      <c r="AE78" s="2258"/>
      <c r="AF78" s="2258"/>
      <c r="AG78" s="2258"/>
      <c r="AH78" s="2258"/>
      <c r="AI78" s="2258"/>
      <c r="AJ78" s="1786">
        <v>19</v>
      </c>
    </row>
    <row s="34657" customFormat="1" customHeight="1" ht="19.95">
      <c r="A79" s="1613"/>
      <c r="C79" s="2262"/>
      <c r="D79" s="2264"/>
      <c r="E79" s="1172" t="str">
        <f>FHD_NUM_P_41</f>
        <v>5.2</v>
      </c>
      <c r="F79" s="2701" t="str">
        <f>FHD_P_41</f>
        <v>за счет их переоценки</v>
      </c>
      <c r="G79" s="2697" t="s">
        <v>570</v>
      </c>
      <c r="H79" s="1602"/>
      <c r="I79" s="1183"/>
      <c r="J79" s="4574"/>
      <c r="K79" s="4574"/>
      <c r="L79" s="4574"/>
      <c r="M79" s="4574"/>
      <c r="N79" s="915" t="str">
        <f>FHD_NOTE_P_41</f>
        <v/>
      </c>
      <c r="O79" s="1169"/>
      <c r="P79" s="2262"/>
      <c r="Q79" s="2262"/>
      <c r="V79" s="2262"/>
      <c r="Y79" s="1170"/>
      <c r="AE79" s="2258"/>
      <c r="AF79" s="2258"/>
      <c r="AG79" s="2258"/>
      <c r="AH79" s="2258"/>
      <c r="AI79" s="2258"/>
      <c r="AJ79" s="1786">
        <v>19</v>
      </c>
    </row>
    <row s="34657" customFormat="1" customHeight="1" ht="20.25" hidden="1">
      <c r="A80" s="1615" t="s">
        <v>597</v>
      </c>
      <c r="C80" s="2262"/>
      <c r="D80" s="2264"/>
      <c r="E80" s="1172" t="str">
        <f>FHD_NUM_P_42</f>
        <v/>
      </c>
      <c r="F80" s="2699" t="str">
        <f>FHD_P_42</f>
        <v/>
      </c>
      <c r="G80" s="2697" t="s">
        <v>570</v>
      </c>
      <c r="H80" s="1602"/>
      <c r="I80" s="1183"/>
      <c r="J80" s="4574"/>
      <c r="K80" s="4574"/>
      <c r="L80" s="4574"/>
      <c r="M80" s="4574"/>
      <c r="N80" s="915" t="str">
        <f>FHD_NOTE_P_42</f>
        <v/>
      </c>
      <c r="O80" s="1169"/>
      <c r="P80" s="2262"/>
      <c r="Q80" s="2262"/>
      <c r="V80" s="2262"/>
      <c r="Y80" s="1170"/>
      <c r="AE80" s="2258"/>
      <c r="AF80" s="2258"/>
      <c r="AG80" s="2258"/>
      <c r="AH80" s="2258"/>
      <c r="AI80" s="2258"/>
      <c r="AJ80" s="1786">
        <v>19</v>
      </c>
    </row>
    <row s="34657" customFormat="1" customHeight="1" ht="19.95">
      <c r="A81" s="1613"/>
      <c r="C81" s="2262"/>
      <c r="D81" s="2264"/>
      <c r="E81" s="1172" t="str">
        <f>FHD_NUM_P_43</f>
        <v>6</v>
      </c>
      <c r="F81" s="2506" t="str">
        <f>FHD_P_43</f>
        <v>Годовая бухгалтерская (финансовая) отчетность, включая бухгалтерский баланс и приложения к нему</v>
      </c>
      <c r="G81" s="2700" t="s">
        <v>324</v>
      </c>
      <c r="H81" s="1681"/>
      <c r="I81" s="1444"/>
      <c r="J81" s="4580"/>
      <c r="K81" s="4580"/>
      <c r="L81" s="4580"/>
      <c r="M81" s="4580"/>
      <c r="N81" s="915"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81" s="1169"/>
      <c r="P81" s="2262"/>
      <c r="Q81" s="2262"/>
      <c r="V81" s="2262"/>
      <c r="Y81" s="1170"/>
      <c r="AE81" s="2258"/>
      <c r="AF81" s="2258"/>
      <c r="AG81" s="2258"/>
      <c r="AH81" s="2258"/>
      <c r="AI81" s="2258"/>
      <c r="AJ81" s="1786">
        <v>19</v>
      </c>
    </row>
    <row s="34657" customFormat="1" customHeight="1" ht="18.75" hidden="1">
      <c r="A82" s="2997" t="s">
        <v>598</v>
      </c>
      <c r="C82" s="1361"/>
      <c r="D82" s="1359"/>
      <c r="E82" s="1172" t="str">
        <f>FHD_NUM_P_44</f>
        <v/>
      </c>
      <c r="F82" s="2506" t="str">
        <f>FHD_P_44</f>
        <v/>
      </c>
      <c r="G82" s="2507" t="s">
        <v>599</v>
      </c>
      <c r="H82" s="1603"/>
      <c r="I82" s="1203"/>
      <c r="J82" s="4585"/>
      <c r="K82" s="4585"/>
      <c r="L82" s="4585"/>
      <c r="M82" s="4585"/>
      <c r="N82" s="915" t="str">
        <f>FHD_NOTE_P_44</f>
        <v/>
      </c>
      <c r="O82" s="1360"/>
      <c r="P82" s="1361"/>
      <c r="Q82" s="1361"/>
      <c r="V82" s="1361"/>
      <c r="Y82" s="1362"/>
      <c r="AE82" s="1363"/>
      <c r="AF82" s="1363"/>
      <c r="AG82" s="1363"/>
      <c r="AH82" s="1363"/>
      <c r="AI82" s="1363"/>
      <c r="AJ82" s="1536">
        <v>0</v>
      </c>
    </row>
    <row s="34657" customFormat="1" customHeight="1" ht="18.75" hidden="1">
      <c r="A83" s="2997"/>
      <c r="C83" s="1361"/>
      <c r="D83" s="1359"/>
      <c r="E83" s="1172" t="str">
        <f>FHD_NUM_P_45</f>
        <v/>
      </c>
      <c r="F83" s="2506" t="str">
        <f>FHD_P_45</f>
        <v/>
      </c>
      <c r="G83" s="2507" t="s">
        <v>599</v>
      </c>
      <c r="H83" s="1603"/>
      <c r="I83" s="1203"/>
      <c r="J83" s="4585"/>
      <c r="K83" s="4585"/>
      <c r="L83" s="4585"/>
      <c r="M83" s="4585"/>
      <c r="N83" s="915" t="str">
        <f>FHD_NOTE_P_45</f>
        <v/>
      </c>
      <c r="O83" s="1360"/>
      <c r="P83" s="1361"/>
      <c r="Q83" s="1361"/>
      <c r="V83" s="1361"/>
      <c r="Y83" s="1362"/>
      <c r="AE83" s="1363"/>
      <c r="AF83" s="1363"/>
      <c r="AG83" s="1363"/>
      <c r="AH83" s="1363"/>
      <c r="AI83" s="1363"/>
      <c r="AJ83" s="1536">
        <v>0</v>
      </c>
    </row>
    <row s="34657" customFormat="1" customHeight="1" ht="18.75" hidden="1">
      <c r="A84" s="2997"/>
      <c r="C84" s="1361"/>
      <c r="D84" s="1364"/>
      <c r="E84" s="1172" t="str">
        <f>FHD_NUM_P_46</f>
        <v/>
      </c>
      <c r="F84" s="2506" t="str">
        <f>FHD_P_46</f>
        <v/>
      </c>
      <c r="G84" s="2507" t="s">
        <v>599</v>
      </c>
      <c r="H84" s="1603"/>
      <c r="I84" s="1203"/>
      <c r="J84" s="4585"/>
      <c r="K84" s="4585"/>
      <c r="L84" s="4585"/>
      <c r="M84" s="4585"/>
      <c r="N84" s="915" t="str">
        <f>FHD_NOTE_P_46</f>
        <v/>
      </c>
      <c r="O84" s="1360"/>
      <c r="P84" s="1361"/>
      <c r="Q84" s="1361"/>
      <c r="V84" s="1361"/>
      <c r="Y84" s="1362"/>
      <c r="AE84" s="1363"/>
      <c r="AF84" s="1363"/>
      <c r="AG84" s="1363"/>
      <c r="AH84" s="1363"/>
      <c r="AI84" s="1363"/>
      <c r="AJ84" s="1536">
        <v>0</v>
      </c>
    </row>
    <row s="34657" customFormat="1" customHeight="1" ht="18.75" hidden="1">
      <c r="A85" s="2997"/>
      <c r="C85" s="1361"/>
      <c r="D85" s="1359"/>
      <c r="E85" s="1172" t="str">
        <f>FHD_NUM_P_47</f>
        <v/>
      </c>
      <c r="F85" s="2506" t="str">
        <f>FHD_P_47</f>
        <v/>
      </c>
      <c r="G85" s="2507" t="s">
        <v>599</v>
      </c>
      <c r="H85" s="1603"/>
      <c r="I85" s="1203"/>
      <c r="J85" s="4585"/>
      <c r="K85" s="4585"/>
      <c r="L85" s="4585"/>
      <c r="M85" s="4585"/>
      <c r="N85" s="915" t="str">
        <f>FHD_NOTE_P_47</f>
        <v/>
      </c>
      <c r="O85" s="1360"/>
      <c r="P85" s="1361"/>
      <c r="Q85" s="1361"/>
      <c r="V85" s="1361"/>
      <c r="Y85" s="1362"/>
      <c r="AE85" s="1363"/>
      <c r="AF85" s="1363"/>
      <c r="AG85" s="1363"/>
      <c r="AH85" s="1363"/>
      <c r="AI85" s="1363"/>
      <c r="AJ85" s="1536">
        <v>0</v>
      </c>
    </row>
    <row s="34580" customFormat="1" customHeight="1" ht="18.75" hidden="1">
      <c r="A86" s="2997"/>
      <c r="B86" s="1536"/>
      <c r="C86" s="1361"/>
      <c r="D86" s="1359"/>
      <c r="E86" s="1172" t="str">
        <f>FHD_NUM_P_48</f>
        <v/>
      </c>
      <c r="F86" s="2506" t="str">
        <f>FHD_P_48</f>
        <v/>
      </c>
      <c r="G86" s="2507" t="s">
        <v>599</v>
      </c>
      <c r="H86" s="1603"/>
      <c r="I86" s="1203"/>
      <c r="J86" s="4585"/>
      <c r="K86" s="4585"/>
      <c r="L86" s="4585"/>
      <c r="M86" s="4585"/>
      <c r="N86" s="915" t="str">
        <f>FHD_NOTE_P_48</f>
        <v/>
      </c>
      <c r="O86" s="1360"/>
      <c r="P86" s="1361"/>
      <c r="Q86" s="1361"/>
      <c r="R86" s="1536"/>
      <c r="S86" s="1536"/>
      <c r="T86" s="1536"/>
      <c r="U86" s="1536"/>
      <c r="V86" s="1361"/>
      <c r="W86" s="1536"/>
      <c r="X86" s="1536"/>
      <c r="Y86" s="1362"/>
      <c r="Z86" s="1536"/>
      <c r="AA86" s="1536"/>
      <c r="AB86" s="1536"/>
      <c r="AC86" s="1536"/>
      <c r="AD86" s="1536"/>
      <c r="AE86" s="1363"/>
      <c r="AF86" s="1363"/>
      <c r="AG86" s="1363"/>
      <c r="AH86" s="1363"/>
      <c r="AI86" s="1363"/>
      <c r="AJ86" s="1365">
        <v>0</v>
      </c>
    </row>
    <row s="34580" customFormat="1" customHeight="1" ht="18.75" hidden="1">
      <c r="A87" s="2997"/>
      <c r="B87" s="1536"/>
      <c r="C87" s="1361"/>
      <c r="D87" s="1359"/>
      <c r="E87" s="1172" t="str">
        <f>FHD_NUM_P_49</f>
        <v/>
      </c>
      <c r="F87" s="2506" t="str">
        <f>FHD_P_49</f>
        <v/>
      </c>
      <c r="G87" s="2507" t="s">
        <v>599</v>
      </c>
      <c r="H87" s="1604">
        <f>SUM(H88:H89)</f>
        <v>0</v>
      </c>
      <c r="I87" s="1375">
        <f>SUM(I88:I89)</f>
        <v>0</v>
      </c>
      <c r="J87" s="4594">
        <f>SUM(J88:J89)</f>
        <v>0</v>
      </c>
      <c r="K87" s="4594">
        <f>SUM(K88:K89)</f>
        <v>0</v>
      </c>
      <c r="L87" s="4594">
        <f>SUM(L88:L89)</f>
        <v>0</v>
      </c>
      <c r="M87" s="4594">
        <f>SUM(M88:M89)</f>
        <v>0</v>
      </c>
      <c r="N87" s="915" t="str">
        <f>FHD_NOTE_P_49</f>
        <v/>
      </c>
      <c r="O87" s="1360"/>
      <c r="P87" s="1361"/>
      <c r="Q87" s="1361"/>
      <c r="R87" s="1536"/>
      <c r="S87" s="1536"/>
      <c r="T87" s="1536"/>
      <c r="U87" s="1536"/>
      <c r="V87" s="1361"/>
      <c r="W87" s="1536"/>
      <c r="X87" s="1536"/>
      <c r="Y87" s="1362"/>
      <c r="Z87" s="1536"/>
      <c r="AA87" s="1536"/>
      <c r="AB87" s="1536"/>
      <c r="AC87" s="1536"/>
      <c r="AD87" s="1536"/>
      <c r="AE87" s="1363"/>
      <c r="AF87" s="1363"/>
      <c r="AG87" s="1363"/>
      <c r="AH87" s="1363"/>
      <c r="AI87" s="1363"/>
      <c r="AJ87" s="1365">
        <v>0</v>
      </c>
    </row>
    <row s="34580" customFormat="1" customHeight="1" ht="18.75" hidden="1">
      <c r="A88" s="2997"/>
      <c r="B88" s="1536"/>
      <c r="C88" s="1361"/>
      <c r="D88" s="1359"/>
      <c r="E88" s="1172" t="str">
        <f>FHD_NUM_P_50</f>
        <v/>
      </c>
      <c r="F88" s="2506" t="str">
        <f>FHD_P_50</f>
        <v/>
      </c>
      <c r="G88" s="2507" t="s">
        <v>599</v>
      </c>
      <c r="H88" s="1603"/>
      <c r="I88" s="1203"/>
      <c r="J88" s="4585"/>
      <c r="K88" s="4585"/>
      <c r="L88" s="4585"/>
      <c r="M88" s="4585"/>
      <c r="N88" s="915" t="str">
        <f>FHD_NOTE_P_50</f>
        <v/>
      </c>
      <c r="O88" s="1360"/>
      <c r="P88" s="1361"/>
      <c r="Q88" s="1361"/>
      <c r="R88" s="1536"/>
      <c r="S88" s="1536"/>
      <c r="T88" s="1536"/>
      <c r="U88" s="1536"/>
      <c r="V88" s="1361"/>
      <c r="W88" s="1536"/>
      <c r="X88" s="1536"/>
      <c r="Y88" s="1362"/>
      <c r="Z88" s="1536"/>
      <c r="AA88" s="1536"/>
      <c r="AB88" s="1536"/>
      <c r="AC88" s="1536"/>
      <c r="AD88" s="1536"/>
      <c r="AE88" s="1363"/>
      <c r="AF88" s="1363"/>
      <c r="AG88" s="1363"/>
      <c r="AH88" s="1363"/>
      <c r="AI88" s="1363"/>
      <c r="AJ88" s="1365">
        <v>0</v>
      </c>
    </row>
    <row s="34580" customFormat="1" customHeight="1" ht="18.75" hidden="1">
      <c r="A89" s="2997"/>
      <c r="B89" s="1536"/>
      <c r="C89" s="1361"/>
      <c r="D89" s="1359"/>
      <c r="E89" s="1172" t="str">
        <f>FHD_NUM_P_51</f>
        <v/>
      </c>
      <c r="F89" s="2506" t="str">
        <f>FHD_P_51</f>
        <v/>
      </c>
      <c r="G89" s="2507" t="s">
        <v>599</v>
      </c>
      <c r="H89" s="1603"/>
      <c r="I89" s="1203"/>
      <c r="J89" s="4585"/>
      <c r="K89" s="4585"/>
      <c r="L89" s="4585"/>
      <c r="M89" s="4585"/>
      <c r="N89" s="915" t="str">
        <f>FHD_NOTE_P_51</f>
        <v/>
      </c>
      <c r="O89" s="1360"/>
      <c r="P89" s="1361"/>
      <c r="Q89" s="1361"/>
      <c r="R89" s="1536"/>
      <c r="S89" s="1536"/>
      <c r="T89" s="1536"/>
      <c r="U89" s="1536"/>
      <c r="V89" s="1361"/>
      <c r="W89" s="1536"/>
      <c r="X89" s="1536"/>
      <c r="Y89" s="1362"/>
      <c r="Z89" s="1536"/>
      <c r="AA89" s="1536"/>
      <c r="AB89" s="1536"/>
      <c r="AC89" s="1536"/>
      <c r="AD89" s="1536"/>
      <c r="AE89" s="1363"/>
      <c r="AF89" s="1363"/>
      <c r="AG89" s="1363"/>
      <c r="AH89" s="1363"/>
      <c r="AI89" s="1363"/>
      <c r="AJ89" s="1365">
        <v>0</v>
      </c>
    </row>
    <row s="34580" customFormat="1" customHeight="1" ht="18.75" hidden="1">
      <c r="A90" s="2997"/>
      <c r="B90" s="1536"/>
      <c r="C90" s="1361"/>
      <c r="D90" s="1359"/>
      <c r="E90" s="1172" t="str">
        <f>FHD_NUM_P_52</f>
        <v/>
      </c>
      <c r="F90" s="2506" t="str">
        <f>FHD_P_52</f>
        <v/>
      </c>
      <c r="G90" s="2507" t="s">
        <v>576</v>
      </c>
      <c r="H90" s="1602"/>
      <c r="I90" s="1183"/>
      <c r="J90" s="4574"/>
      <c r="K90" s="4574"/>
      <c r="L90" s="4574"/>
      <c r="M90" s="4574"/>
      <c r="N90" s="915" t="str">
        <f>FHD_NOTE_P_52</f>
        <v/>
      </c>
      <c r="O90" s="1360"/>
      <c r="P90" s="1361"/>
      <c r="Q90" s="1361"/>
      <c r="R90" s="1536"/>
      <c r="S90" s="1536"/>
      <c r="T90" s="1536"/>
      <c r="U90" s="1536"/>
      <c r="V90" s="1361"/>
      <c r="W90" s="1536"/>
      <c r="X90" s="1536"/>
      <c r="Y90" s="1362"/>
      <c r="Z90" s="1536"/>
      <c r="AA90" s="1536"/>
      <c r="AB90" s="1536"/>
      <c r="AC90" s="1536"/>
      <c r="AD90" s="1536"/>
      <c r="AE90" s="1363"/>
      <c r="AF90" s="1363"/>
      <c r="AG90" s="1363"/>
      <c r="AH90" s="1363"/>
      <c r="AI90" s="1363"/>
      <c r="AJ90" s="1365">
        <v>0</v>
      </c>
    </row>
    <row s="34657" customFormat="1" customHeight="1" ht="18.75" hidden="1">
      <c r="A91" s="2999" t="s">
        <v>600</v>
      </c>
      <c r="C91" s="1361"/>
      <c r="D91" s="1359"/>
      <c r="E91" s="1172" t="str">
        <f>FHD_NUM_P_53</f>
        <v/>
      </c>
      <c r="F91" s="2506" t="str">
        <f>FHD_P_53</f>
        <v/>
      </c>
      <c r="G91" s="2507" t="s">
        <v>599</v>
      </c>
      <c r="H91" s="1603"/>
      <c r="I91" s="1203"/>
      <c r="J91" s="4585"/>
      <c r="K91" s="4585"/>
      <c r="L91" s="4585"/>
      <c r="M91" s="4585"/>
      <c r="N91" s="915" t="str">
        <f>FHD_NOTE_P_53</f>
        <v/>
      </c>
      <c r="O91" s="1360"/>
      <c r="P91" s="1361"/>
      <c r="Q91" s="1361"/>
      <c r="V91" s="1361"/>
      <c r="Y91" s="1362"/>
      <c r="AE91" s="1363"/>
      <c r="AF91" s="1363"/>
      <c r="AG91" s="1363"/>
      <c r="AH91" s="1363"/>
      <c r="AI91" s="1363"/>
      <c r="AJ91" s="1536">
        <v>0</v>
      </c>
    </row>
    <row s="34657" customFormat="1" customHeight="1" ht="18.75" hidden="1">
      <c r="A92" s="2999"/>
      <c r="C92" s="1361"/>
      <c r="D92" s="1359"/>
      <c r="E92" s="1172" t="str">
        <f>FHD_NUM_P_54</f>
        <v/>
      </c>
      <c r="F92" s="2506" t="str">
        <f>FHD_P_54</f>
        <v/>
      </c>
      <c r="G92" s="2507" t="s">
        <v>599</v>
      </c>
      <c r="H92" s="1603"/>
      <c r="I92" s="1203"/>
      <c r="J92" s="4585"/>
      <c r="K92" s="4585"/>
      <c r="L92" s="4585"/>
      <c r="M92" s="4585"/>
      <c r="N92" s="915" t="str">
        <f>FHD_NOTE_P_54</f>
        <v/>
      </c>
      <c r="O92" s="1360"/>
      <c r="P92" s="1361"/>
      <c r="Q92" s="1361"/>
      <c r="V92" s="1361"/>
      <c r="Y92" s="1362"/>
      <c r="AE92" s="1363"/>
      <c r="AF92" s="1363"/>
      <c r="AG92" s="1363"/>
      <c r="AH92" s="1363"/>
      <c r="AI92" s="1363"/>
      <c r="AJ92" s="1536">
        <v>0</v>
      </c>
    </row>
    <row s="34657" customFormat="1" customHeight="1" ht="18.75" hidden="1">
      <c r="A93" s="2999"/>
      <c r="C93" s="1361"/>
      <c r="D93" s="1364"/>
      <c r="E93" s="1172" t="str">
        <f>FHD_NUM_P_55</f>
        <v/>
      </c>
      <c r="F93" s="2506" t="str">
        <f>FHD_P_55</f>
        <v/>
      </c>
      <c r="G93" s="2510"/>
      <c r="H93" s="1603"/>
      <c r="I93" s="1203"/>
      <c r="J93" s="4585"/>
      <c r="K93" s="4585"/>
      <c r="L93" s="4585"/>
      <c r="M93" s="4585"/>
      <c r="N93" s="915" t="str">
        <f>FHD_NOTE_P_55</f>
        <v/>
      </c>
      <c r="O93" s="1360"/>
      <c r="P93" s="1361"/>
      <c r="Q93" s="1361"/>
      <c r="V93" s="1361"/>
      <c r="Y93" s="1362"/>
      <c r="AE93" s="1363"/>
      <c r="AF93" s="1363"/>
      <c r="AG93" s="1363"/>
      <c r="AH93" s="1363"/>
      <c r="AI93" s="1363"/>
      <c r="AJ93" s="1536">
        <v>0</v>
      </c>
    </row>
    <row s="34657" customFormat="1" customHeight="1" ht="18.75" hidden="1">
      <c r="A94" s="2999"/>
      <c r="C94" s="1361"/>
      <c r="D94" s="1359"/>
      <c r="E94" s="1172" t="str">
        <f>FHD_NUM_P_56</f>
        <v/>
      </c>
      <c r="F94" s="2506" t="str">
        <f>FHD_P_56</f>
        <v/>
      </c>
      <c r="G94" s="2507" t="s">
        <v>601</v>
      </c>
      <c r="H94" s="1603"/>
      <c r="I94" s="1203"/>
      <c r="J94" s="4585"/>
      <c r="K94" s="4585"/>
      <c r="L94" s="4585"/>
      <c r="M94" s="4585"/>
      <c r="N94" s="915" t="str">
        <f>FHD_NOTE_P_56</f>
        <v/>
      </c>
      <c r="O94" s="1360"/>
      <c r="P94" s="1361"/>
      <c r="Q94" s="1361"/>
      <c r="V94" s="1361"/>
      <c r="Y94" s="1362"/>
      <c r="AE94" s="1363"/>
      <c r="AF94" s="1363"/>
      <c r="AG94" s="1363"/>
      <c r="AH94" s="1363"/>
      <c r="AI94" s="1363"/>
      <c r="AJ94" s="1536">
        <v>0</v>
      </c>
    </row>
    <row s="34580" customFormat="1" customHeight="1" ht="18.75" hidden="1">
      <c r="A95" s="2999"/>
      <c r="B95" s="1536"/>
      <c r="C95" s="1361"/>
      <c r="D95" s="1359"/>
      <c r="E95" s="1172" t="str">
        <f>FHD_NUM_P_57</f>
        <v/>
      </c>
      <c r="F95" s="2506" t="str">
        <f>FHD_P_57</f>
        <v/>
      </c>
      <c r="G95" s="2507" t="s">
        <v>576</v>
      </c>
      <c r="H95" s="1602"/>
      <c r="I95" s="1183"/>
      <c r="J95" s="4574"/>
      <c r="K95" s="4574"/>
      <c r="L95" s="4574"/>
      <c r="M95" s="4574"/>
      <c r="N95" s="915" t="str">
        <f>FHD_NOTE_P_57</f>
        <v/>
      </c>
      <c r="O95" s="1360"/>
      <c r="P95" s="1361"/>
      <c r="Q95" s="1361"/>
      <c r="R95" s="1536"/>
      <c r="S95" s="1536"/>
      <c r="T95" s="1536"/>
      <c r="U95" s="1536"/>
      <c r="V95" s="1361"/>
      <c r="W95" s="1536"/>
      <c r="X95" s="1536"/>
      <c r="Y95" s="1362"/>
      <c r="Z95" s="1536"/>
      <c r="AA95" s="1536"/>
      <c r="AB95" s="1536"/>
      <c r="AC95" s="1536"/>
      <c r="AD95" s="1536"/>
      <c r="AE95" s="1363"/>
      <c r="AF95" s="1363"/>
      <c r="AG95" s="1363"/>
      <c r="AH95" s="1363"/>
      <c r="AI95" s="1363"/>
      <c r="AJ95" s="1365">
        <v>0</v>
      </c>
    </row>
    <row customHeight="1" ht="18.75" hidden="1">
      <c r="A96" s="2997" t="s">
        <v>602</v>
      </c>
      <c r="D96" s="2264"/>
      <c r="E96" s="1172" t="str">
        <f>FHD_NUM_P_58</f>
        <v/>
      </c>
      <c r="F96" s="2506" t="str">
        <f>FHD_P_58</f>
        <v/>
      </c>
      <c r="G96" s="2507" t="s">
        <v>599</v>
      </c>
      <c r="H96" s="1603"/>
      <c r="I96" s="1203"/>
      <c r="J96" s="4585"/>
      <c r="K96" s="4585"/>
      <c r="L96" s="4585"/>
      <c r="M96" s="4585"/>
      <c r="N96" s="915" t="str">
        <f>FHD_NOTE_P_58</f>
        <v/>
      </c>
      <c r="O96" s="1169"/>
      <c r="AJ96" s="2257">
        <v>0</v>
      </c>
    </row>
    <row customHeight="1" ht="18.75" hidden="1">
      <c r="A97" s="2997"/>
      <c r="D97" s="2264"/>
      <c r="E97" s="1172" t="str">
        <f>FHD_NUM_P_59</f>
        <v/>
      </c>
      <c r="F97" s="2506" t="str">
        <f>FHD_P_59</f>
        <v/>
      </c>
      <c r="G97" s="2507" t="s">
        <v>599</v>
      </c>
      <c r="H97" s="1603"/>
      <c r="I97" s="1203"/>
      <c r="J97" s="4585"/>
      <c r="K97" s="4585"/>
      <c r="L97" s="4585"/>
      <c r="M97" s="4585"/>
      <c r="N97" s="915" t="str">
        <f>FHD_NOTE_P_59</f>
        <v/>
      </c>
      <c r="O97" s="1169"/>
      <c r="AJ97" s="2257">
        <v>0</v>
      </c>
    </row>
    <row customHeight="1" ht="18.75" hidden="1">
      <c r="A98" s="2997"/>
      <c r="D98" s="2264"/>
      <c r="E98" s="1172" t="str">
        <f>FHD_NUM_P_60</f>
        <v/>
      </c>
      <c r="F98" s="2506" t="str">
        <f>FHD_P_60</f>
        <v/>
      </c>
      <c r="G98" s="2507" t="s">
        <v>599</v>
      </c>
      <c r="H98" s="1603"/>
      <c r="I98" s="1203"/>
      <c r="J98" s="4585"/>
      <c r="K98" s="4585"/>
      <c r="L98" s="4585"/>
      <c r="M98" s="4585"/>
      <c r="N98" s="915" t="str">
        <f>FHD_NOTE_P_60</f>
        <v/>
      </c>
      <c r="O98" s="1169"/>
      <c r="AJ98" s="2257">
        <v>0</v>
      </c>
    </row>
    <row s="34657" customFormat="1" customHeight="1" ht="18.75">
      <c r="A99" s="2997" t="s">
        <v>603</v>
      </c>
      <c r="C99" s="2262"/>
      <c r="D99" s="2264"/>
      <c r="E99" s="1172" t="str">
        <f>FHD_NUM_P_61</f>
        <v>7</v>
      </c>
      <c r="F99" s="250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504" t="s">
        <v>574</v>
      </c>
      <c r="H99" s="1605"/>
      <c r="I99" s="1368"/>
      <c r="J99" s="4599"/>
      <c r="K99" s="4599"/>
      <c r="L99" s="4599"/>
      <c r="M99" s="4599"/>
      <c r="N99" s="915"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99" s="1169"/>
      <c r="P99" s="2262"/>
      <c r="Q99" s="2262"/>
      <c r="V99" s="2262"/>
      <c r="Y99" s="1170"/>
      <c r="AE99" s="2258"/>
      <c r="AF99" s="2258"/>
      <c r="AG99" s="2258"/>
      <c r="AH99" s="2258"/>
      <c r="AI99" s="2258"/>
      <c r="AJ99" s="1786">
        <v>0</v>
      </c>
    </row>
    <row s="34658" customFormat="1" customHeight="1" ht="0.75">
      <c r="A100" s="2997"/>
      <c r="D100" s="1174"/>
      <c r="E100" s="1639" t="str">
        <f>E99&amp;".0"</f>
        <v>7.0</v>
      </c>
      <c r="F100" s="1620"/>
      <c r="G100" s="1621"/>
      <c r="H100" s="1618"/>
      <c r="I100" s="1618"/>
      <c r="J100" s="4564"/>
      <c r="K100" s="4564"/>
      <c r="L100" s="4564"/>
      <c r="M100" s="4564"/>
      <c r="N100" s="1622"/>
      <c r="AJ100" s="2262">
        <v>0</v>
      </c>
    </row>
    <row customHeight="1" ht="15">
      <c r="A101" s="2997"/>
      <c r="D101" s="2259"/>
      <c r="E101" s="1597"/>
      <c r="F101" s="1598" t="s">
        <v>604</v>
      </c>
      <c r="G101" s="1198"/>
      <c r="H101" s="1199"/>
      <c r="I101" s="1199"/>
      <c r="J101" s="4605"/>
      <c r="K101" s="4606"/>
      <c r="L101" s="4607"/>
      <c r="M101" s="4608"/>
      <c r="N101" s="1630" t="s">
        <v>605</v>
      </c>
      <c r="O101" s="1169"/>
      <c r="AJ101" s="2257">
        <v>0</v>
      </c>
    </row>
    <row s="34657" customFormat="1" customHeight="1" ht="18.75">
      <c r="A102" s="2997"/>
      <c r="C102" s="2262"/>
      <c r="D102" s="2264"/>
      <c r="E102" s="1172" t="str">
        <f>FHD_NUM_P_62</f>
        <v>8</v>
      </c>
      <c r="F102" s="2506" t="str">
        <f>FHD_P_62</f>
        <v>Тепловая нагрузка по договорам, заключенным в рамках осуществления регулируемых видов деятельности</v>
      </c>
      <c r="G102" s="2503" t="s">
        <v>574</v>
      </c>
      <c r="H102" s="1183"/>
      <c r="I102" s="1183"/>
      <c r="J102" s="4521"/>
      <c r="K102" s="4521"/>
      <c r="L102" s="4521"/>
      <c r="M102" s="4521"/>
      <c r="N102" s="915" t="str">
        <f>FHD_NOTE_P_62</f>
        <v>Регулируемыми организациями указывается информация по договорам, заключенным в рамках осуществления регулируемых видов деятельности</v>
      </c>
      <c r="O102" s="1169"/>
      <c r="P102" s="2262"/>
      <c r="Q102" s="2262"/>
      <c r="V102" s="2262"/>
      <c r="Y102" s="1170"/>
      <c r="AE102" s="2258"/>
      <c r="AF102" s="2258"/>
      <c r="AG102" s="2258"/>
      <c r="AH102" s="2258"/>
      <c r="AI102" s="2258"/>
      <c r="AJ102" s="1786">
        <v>0</v>
      </c>
    </row>
    <row s="34657" customFormat="1" customHeight="1" ht="18.75">
      <c r="A103" s="2997"/>
      <c r="C103" s="2262"/>
      <c r="D103" s="2264"/>
      <c r="E103" s="1172" t="str">
        <f>FHD_NUM_P_63</f>
        <v>9</v>
      </c>
      <c r="F103" s="2506" t="str">
        <f>FHD_P_63</f>
        <v>Объем вырабатываемой регулируемой организацией тепловой энергии в рамках осуществления регулируемых видов деятельности</v>
      </c>
      <c r="G103" s="2503" t="s">
        <v>601</v>
      </c>
      <c r="H103" s="1203"/>
      <c r="I103" s="1203"/>
      <c r="J103" s="4552"/>
      <c r="K103" s="4552"/>
      <c r="L103" s="4552"/>
      <c r="M103" s="4552"/>
      <c r="N103" s="91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O103" s="1169"/>
      <c r="P103" s="2262"/>
      <c r="Q103" s="2262"/>
      <c r="V103" s="2262"/>
      <c r="Y103" s="1170"/>
      <c r="AE103" s="2258"/>
      <c r="AF103" s="2258"/>
      <c r="AG103" s="2258"/>
      <c r="AH103" s="2258"/>
      <c r="AI103" s="2258"/>
      <c r="AJ103" s="1786">
        <v>0</v>
      </c>
    </row>
    <row s="34657" customFormat="1" customHeight="1" ht="18.75">
      <c r="A104" s="2997"/>
      <c r="C104" s="2262" t="s">
        <v>606</v>
      </c>
      <c r="D104" s="2264"/>
      <c r="E104" s="1172" t="str">
        <f>FHD_NUM_P_64</f>
        <v>9.1</v>
      </c>
      <c r="F104" s="2506" t="str">
        <f>FHD_P_64</f>
        <v>Объем приобретаемой регулируемой организацией тепловой энергии в рамках осуществления регулируемых видов деятельности</v>
      </c>
      <c r="G104" s="2503" t="s">
        <v>601</v>
      </c>
      <c r="H104" s="1171"/>
      <c r="I104" s="1171"/>
      <c r="J104" s="4497"/>
      <c r="K104" s="4497"/>
      <c r="L104" s="4497"/>
      <c r="M104" s="4497"/>
      <c r="N104" s="915" t="str">
        <f>FHD_NOTE_P_64</f>
        <v>Информация указывается только едиными теплоснабжающими организациями.</v>
      </c>
      <c r="O104" s="1169"/>
      <c r="P104" s="2262"/>
      <c r="Q104" s="2262"/>
      <c r="V104" s="2262"/>
      <c r="Y104" s="1170"/>
      <c r="AE104" s="2258"/>
      <c r="AF104" s="2258"/>
      <c r="AG104" s="2258"/>
      <c r="AH104" s="2258"/>
      <c r="AI104" s="2258"/>
      <c r="AJ104" s="1786">
        <v>0</v>
      </c>
    </row>
    <row s="34657" customFormat="1" customHeight="1" ht="18.75">
      <c r="A105" s="2997"/>
      <c r="C105" s="2262"/>
      <c r="D105" s="2264"/>
      <c r="E105" s="1172" t="str">
        <f>FHD_NUM_P_65</f>
        <v>10</v>
      </c>
      <c r="F105" s="250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503" t="s">
        <v>601</v>
      </c>
      <c r="H105" s="1203"/>
      <c r="I105" s="1203"/>
      <c r="J105" s="4552"/>
      <c r="K105" s="4552"/>
      <c r="L105" s="4552"/>
      <c r="M105" s="4552"/>
      <c r="N105" s="915"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105" s="1169"/>
      <c r="P105" s="2262"/>
      <c r="Q105" s="2262"/>
      <c r="V105" s="2262"/>
      <c r="Y105" s="1170"/>
      <c r="AE105" s="2258"/>
      <c r="AF105" s="2258"/>
      <c r="AG105" s="2258"/>
      <c r="AH105" s="2258"/>
      <c r="AI105" s="2258"/>
      <c r="AJ105" s="1786">
        <v>0</v>
      </c>
    </row>
    <row s="34657" customFormat="1" customHeight="1" ht="18.75">
      <c r="A106" s="2997"/>
      <c r="C106" s="2262"/>
      <c r="D106" s="2264"/>
      <c r="E106" s="1172" t="str">
        <f>FHD_NUM_P_66</f>
        <v>10.1</v>
      </c>
      <c r="F106" s="2150" t="str">
        <f>FHD_P_66</f>
        <v>По приборам учёта </v>
      </c>
      <c r="G106" s="2503" t="s">
        <v>601</v>
      </c>
      <c r="H106" s="1203"/>
      <c r="I106" s="1203"/>
      <c r="J106" s="4552"/>
      <c r="K106" s="4552"/>
      <c r="L106" s="4552"/>
      <c r="M106" s="4552"/>
      <c r="N106" s="915" t="str">
        <f>FHD_NOTE_P_66</f>
        <v/>
      </c>
      <c r="O106" s="1169"/>
      <c r="P106" s="2262"/>
      <c r="Q106" s="2262"/>
      <c r="V106" s="2262"/>
      <c r="Y106" s="1170"/>
      <c r="AE106" s="2258"/>
      <c r="AF106" s="2258"/>
      <c r="AG106" s="2258"/>
      <c r="AH106" s="2258"/>
      <c r="AI106" s="2258"/>
      <c r="AJ106" s="1786">
        <v>0</v>
      </c>
    </row>
    <row s="34657" customFormat="1" customHeight="1" ht="18.75">
      <c r="A107" s="2997"/>
      <c r="C107" s="2262"/>
      <c r="D107" s="2264"/>
      <c r="E107" s="1172" t="str">
        <f>FHD_NUM_P_67</f>
        <v>10.1.1</v>
      </c>
      <c r="F107" s="22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503" t="s">
        <v>601</v>
      </c>
      <c r="H107" s="1203"/>
      <c r="I107" s="1203"/>
      <c r="J107" s="4552"/>
      <c r="K107" s="4552"/>
      <c r="L107" s="4552"/>
      <c r="M107" s="4552"/>
      <c r="N107" s="915" t="str">
        <f>FHD_NOTE_P_67</f>
        <v/>
      </c>
      <c r="O107" s="1169"/>
      <c r="P107" s="2262"/>
      <c r="Q107" s="2262"/>
      <c r="V107" s="2262"/>
      <c r="Y107" s="1170"/>
      <c r="AE107" s="2258"/>
      <c r="AF107" s="2258"/>
      <c r="AG107" s="2258"/>
      <c r="AH107" s="2258"/>
      <c r="AI107" s="2258"/>
      <c r="AJ107" s="1786">
        <v>0</v>
      </c>
    </row>
    <row s="34657" customFormat="1" customHeight="1" ht="18.75">
      <c r="A108" s="2997"/>
      <c r="C108" s="2262"/>
      <c r="D108" s="2264"/>
      <c r="E108" s="1172" t="str">
        <f>FHD_NUM_P_68</f>
        <v>10.2</v>
      </c>
      <c r="F108" s="2150" t="str">
        <f>FHD_P_68</f>
        <v>Расчётным путём</v>
      </c>
      <c r="G108" s="2503" t="s">
        <v>601</v>
      </c>
      <c r="H108" s="1203"/>
      <c r="I108" s="1203"/>
      <c r="J108" s="4552"/>
      <c r="K108" s="4552"/>
      <c r="L108" s="4552"/>
      <c r="M108" s="4552"/>
      <c r="N108" s="915" t="str">
        <f>FHD_NOTE_P_68</f>
        <v/>
      </c>
      <c r="O108" s="1169"/>
      <c r="P108" s="2262"/>
      <c r="Q108" s="2262"/>
      <c r="V108" s="2262"/>
      <c r="Y108" s="1170"/>
      <c r="AE108" s="2258"/>
      <c r="AF108" s="2258"/>
      <c r="AG108" s="2258"/>
      <c r="AH108" s="2258"/>
      <c r="AI108" s="2258"/>
      <c r="AJ108" s="1786">
        <v>0</v>
      </c>
    </row>
    <row s="34657" customFormat="1" customHeight="1" ht="18.75">
      <c r="A109" s="2997"/>
      <c r="C109" s="2262"/>
      <c r="D109" s="2264"/>
      <c r="E109" s="1172" t="str">
        <f>FHD_NUM_P_69</f>
        <v>10.3</v>
      </c>
      <c r="F109" s="2150" t="str">
        <f>FHD_P_69</f>
        <v>По нормативам потребления коммунальных услуг и нормативам потребления коммунальных ресурсов</v>
      </c>
      <c r="G109" s="2503" t="s">
        <v>601</v>
      </c>
      <c r="H109" s="1203"/>
      <c r="I109" s="1203"/>
      <c r="J109" s="4552"/>
      <c r="K109" s="4552"/>
      <c r="L109" s="4552"/>
      <c r="M109" s="4552"/>
      <c r="N109" s="915" t="str">
        <f>FHD_NOTE_P_69</f>
        <v/>
      </c>
      <c r="O109" s="1169"/>
      <c r="P109" s="2262"/>
      <c r="Q109" s="2262"/>
      <c r="V109" s="2262"/>
      <c r="Y109" s="1170"/>
      <c r="AE109" s="2258"/>
      <c r="AF109" s="2258"/>
      <c r="AG109" s="2258"/>
      <c r="AH109" s="2258"/>
      <c r="AI109" s="2258"/>
      <c r="AJ109" s="1786">
        <v>0</v>
      </c>
    </row>
    <row s="34657" customFormat="1" customHeight="1" ht="22.5">
      <c r="A110" s="2997"/>
      <c r="C110" s="2262"/>
      <c r="D110" s="2264"/>
      <c r="E110" s="1172" t="str">
        <f>FHD_NUM_P_70</f>
        <v>11</v>
      </c>
      <c r="F110" s="2506" t="str">
        <f>FHD_P_70</f>
        <v>Нормативы технологических потерь при передаче тепловой энергии, теплоносителя по тепловым сетям, утвержденные уполномоченным органом</v>
      </c>
      <c r="G110" s="2503" t="s">
        <v>607</v>
      </c>
      <c r="H110" s="1183"/>
      <c r="I110" s="1183"/>
      <c r="J110" s="4521"/>
      <c r="K110" s="4521"/>
      <c r="L110" s="4521"/>
      <c r="M110" s="4521"/>
      <c r="N110" s="915" t="str">
        <f>FHD_NOTE_P_70</f>
        <v/>
      </c>
      <c r="O110" s="1169"/>
      <c r="P110" s="2262"/>
      <c r="Q110" s="2262"/>
      <c r="V110" s="2262"/>
      <c r="Y110" s="1170"/>
      <c r="AE110" s="2258"/>
      <c r="AF110" s="2258"/>
      <c r="AG110" s="2258"/>
      <c r="AH110" s="2258"/>
      <c r="AI110" s="2258"/>
      <c r="AJ110" s="1786">
        <v>0</v>
      </c>
    </row>
    <row s="34657" customFormat="1" customHeight="1" ht="22.5">
      <c r="A111" s="2997"/>
      <c r="C111" s="2262"/>
      <c r="D111" s="2264"/>
      <c r="E111" s="1172" t="str">
        <f>FHD_NUM_P_71</f>
        <v>12</v>
      </c>
      <c r="F111" s="2506" t="str">
        <f>FHD_P_71</f>
        <v>Фактический объем потерь при передаче тепловой энергии</v>
      </c>
      <c r="G111" s="2503" t="s">
        <v>607</v>
      </c>
      <c r="H111" s="1183"/>
      <c r="I111" s="1183"/>
      <c r="J111" s="4521"/>
      <c r="K111" s="4521"/>
      <c r="L111" s="4521"/>
      <c r="M111" s="4521"/>
      <c r="N111" s="915" t="str">
        <f>FHD_NOTE_P_71</f>
        <v/>
      </c>
      <c r="O111" s="1169"/>
      <c r="P111" s="2262"/>
      <c r="Q111" s="2262"/>
      <c r="V111" s="2262"/>
      <c r="Y111" s="1170"/>
      <c r="AE111" s="2258"/>
      <c r="AF111" s="2258"/>
      <c r="AG111" s="2258"/>
      <c r="AH111" s="2258"/>
      <c r="AI111" s="2258"/>
      <c r="AJ111" s="1786">
        <v>0</v>
      </c>
    </row>
    <row customHeight="1" ht="19.95">
      <c r="D112" s="2264"/>
      <c r="E112" s="1172" t="str">
        <f>FHD_NUM_P_72</f>
        <v>13</v>
      </c>
      <c r="F112" s="2506" t="str">
        <f>FHD_P_72</f>
        <v>Среднесписочная численность основного производственного персонала</v>
      </c>
      <c r="G112" s="2502" t="s">
        <v>608</v>
      </c>
      <c r="H112" s="1203"/>
      <c r="I112" s="1203"/>
      <c r="J112" s="4552"/>
      <c r="K112" s="4552"/>
      <c r="L112" s="4552"/>
      <c r="M112" s="4552"/>
      <c r="N112" s="915" t="str">
        <f>FHD_NOTE_P_72</f>
        <v/>
      </c>
      <c r="O112" s="1169"/>
      <c r="AJ112" s="2257">
        <v>19</v>
      </c>
    </row>
    <row customHeight="1" ht="18.75">
      <c r="A113" s="1615" t="s">
        <v>609</v>
      </c>
      <c r="D113" s="2264"/>
      <c r="E113" s="1172" t="str">
        <f>FHD_NUM_P_73</f>
        <v>14</v>
      </c>
      <c r="F113" s="2506" t="str">
        <f>FHD_P_73</f>
        <v>Среднесписочная численность административно-управленческого персонала</v>
      </c>
      <c r="G113" s="1596" t="s">
        <v>608</v>
      </c>
      <c r="H113" s="1594"/>
      <c r="I113" s="1594"/>
      <c r="J113" s="4614"/>
      <c r="K113" s="4614"/>
      <c r="L113" s="4614"/>
      <c r="M113" s="4614"/>
      <c r="N113" s="915" t="str">
        <f>FHD_NOTE_P_73</f>
        <v/>
      </c>
      <c r="O113" s="1169"/>
      <c r="AJ113" s="2257">
        <v>0</v>
      </c>
    </row>
    <row customHeight="1" ht="33.75" hidden="1">
      <c r="A114" s="1615" t="s">
        <v>610</v>
      </c>
      <c r="D114" s="2264"/>
      <c r="E114" s="1172" t="str">
        <f>FHD_NUM_P_74</f>
        <v/>
      </c>
      <c r="F114" s="2506" t="str">
        <f>FHD_P_74</f>
        <v/>
      </c>
      <c r="G114" s="2502" t="s">
        <v>611</v>
      </c>
      <c r="H114" s="1203"/>
      <c r="I114" s="1203"/>
      <c r="J114" s="4552"/>
      <c r="K114" s="4552"/>
      <c r="L114" s="4552"/>
      <c r="M114" s="4552"/>
      <c r="N114" s="915" t="str">
        <f>FHD_NOTE_P_74</f>
        <v/>
      </c>
      <c r="O114" s="1169"/>
      <c r="AJ114" s="2257">
        <v>0</v>
      </c>
    </row>
    <row s="34580" customFormat="1" customHeight="1" ht="18.75" hidden="1">
      <c r="A115" s="2999" t="s">
        <v>612</v>
      </c>
      <c r="B115" s="1536"/>
      <c r="C115" s="1361"/>
      <c r="D115" s="1359"/>
      <c r="E115" s="1172" t="str">
        <f>FHD_NUM_P_75</f>
        <v/>
      </c>
      <c r="F115" s="2506" t="str">
        <f>FHD_P_75</f>
        <v/>
      </c>
      <c r="G115" s="2502" t="s">
        <v>576</v>
      </c>
      <c r="H115" s="1183"/>
      <c r="I115" s="1183"/>
      <c r="J115" s="4521"/>
      <c r="K115" s="4521"/>
      <c r="L115" s="4521"/>
      <c r="M115" s="4521"/>
      <c r="N115" s="915" t="str">
        <f>FHD_NOTE_P_75</f>
        <v/>
      </c>
      <c r="O115" s="1360"/>
      <c r="P115" s="1361"/>
      <c r="Q115" s="1361"/>
      <c r="R115" s="1536"/>
      <c r="S115" s="1536"/>
      <c r="T115" s="1536"/>
      <c r="U115" s="1536"/>
      <c r="V115" s="1361"/>
      <c r="W115" s="1536"/>
      <c r="X115" s="1536"/>
      <c r="Y115" s="1362"/>
      <c r="Z115" s="1536"/>
      <c r="AA115" s="1536"/>
      <c r="AB115" s="1536"/>
      <c r="AC115" s="1536"/>
      <c r="AD115" s="1536"/>
      <c r="AE115" s="1363"/>
      <c r="AF115" s="1363"/>
      <c r="AG115" s="1363"/>
      <c r="AH115" s="1363"/>
      <c r="AI115" s="1363"/>
      <c r="AJ115" s="1365">
        <v>0</v>
      </c>
    </row>
    <row s="34580" customFormat="1" customHeight="1" ht="18.75" hidden="1">
      <c r="A116" s="2999"/>
      <c r="B116" s="1536"/>
      <c r="C116" s="1361"/>
      <c r="D116" s="1359"/>
      <c r="E116" s="1172" t="str">
        <f>FHD_NUM_P_76</f>
        <v/>
      </c>
      <c r="F116" s="2506" t="str">
        <f>FHD_P_76</f>
        <v/>
      </c>
      <c r="G116" s="2502" t="s">
        <v>576</v>
      </c>
      <c r="H116" s="1183"/>
      <c r="I116" s="1183"/>
      <c r="J116" s="4521"/>
      <c r="K116" s="4521"/>
      <c r="L116" s="4521"/>
      <c r="M116" s="4521"/>
      <c r="N116" s="915" t="str">
        <f>FHD_NOTE_P_76</f>
        <v/>
      </c>
      <c r="O116" s="1360"/>
      <c r="P116" s="1361"/>
      <c r="Q116" s="1361"/>
      <c r="R116" s="1536"/>
      <c r="S116" s="1536"/>
      <c r="T116" s="1536"/>
      <c r="U116" s="1536"/>
      <c r="V116" s="1361"/>
      <c r="W116" s="1536"/>
      <c r="X116" s="1536"/>
      <c r="Y116" s="1362"/>
      <c r="Z116" s="1536"/>
      <c r="AA116" s="1536"/>
      <c r="AB116" s="1536"/>
      <c r="AC116" s="1536"/>
      <c r="AD116" s="1536"/>
      <c r="AE116" s="1363"/>
      <c r="AF116" s="1363"/>
      <c r="AG116" s="1363"/>
      <c r="AH116" s="1363"/>
      <c r="AI116" s="1363"/>
      <c r="AJ116" s="1365">
        <v>0</v>
      </c>
    </row>
    <row s="34580" customFormat="1" customHeight="1" ht="18.75" hidden="1">
      <c r="A117" s="2999"/>
      <c r="B117" s="1536"/>
      <c r="C117" s="1361"/>
      <c r="D117" s="1359"/>
      <c r="E117" s="1172" t="str">
        <f>FHD_NUM_P_77</f>
        <v/>
      </c>
      <c r="F117" s="2506" t="str">
        <f>FHD_P_77</f>
        <v/>
      </c>
      <c r="G117" s="2502" t="s">
        <v>576</v>
      </c>
      <c r="H117" s="1183"/>
      <c r="I117" s="1183"/>
      <c r="J117" s="4521"/>
      <c r="K117" s="4521"/>
      <c r="L117" s="4521"/>
      <c r="M117" s="4521"/>
      <c r="N117" s="915" t="str">
        <f>FHD_NOTE_P_77</f>
        <v/>
      </c>
      <c r="O117" s="1360"/>
      <c r="P117" s="1361"/>
      <c r="Q117" s="1361"/>
      <c r="R117" s="1536"/>
      <c r="S117" s="1536"/>
      <c r="T117" s="1536"/>
      <c r="U117" s="1536"/>
      <c r="V117" s="1361"/>
      <c r="W117" s="1536"/>
      <c r="X117" s="1536"/>
      <c r="Y117" s="1362"/>
      <c r="Z117" s="1536"/>
      <c r="AA117" s="1536"/>
      <c r="AB117" s="1536"/>
      <c r="AC117" s="1536"/>
      <c r="AD117" s="1536"/>
      <c r="AE117" s="1363"/>
      <c r="AF117" s="1363"/>
      <c r="AG117" s="1363"/>
      <c r="AH117" s="1363"/>
      <c r="AI117" s="1363"/>
      <c r="AJ117" s="1365">
        <v>0</v>
      </c>
    </row>
    <row s="34658" customFormat="1" customHeight="1" ht="0.75" hidden="1">
      <c r="A118" s="2999"/>
      <c r="D118" s="1174"/>
      <c r="E118" s="1639" t="str">
        <f>E117&amp;".0"</f>
        <v>.0</v>
      </c>
      <c r="F118" s="1623"/>
      <c r="G118" s="2277"/>
      <c r="H118" s="1618"/>
      <c r="I118" s="1618"/>
      <c r="J118" s="4564"/>
      <c r="K118" s="4564"/>
      <c r="L118" s="4564"/>
      <c r="M118" s="4564"/>
      <c r="N118" s="1622"/>
      <c r="AJ118" s="2262">
        <v>0</v>
      </c>
    </row>
    <row s="34580" customFormat="1" customHeight="1" ht="15" hidden="1">
      <c r="A119" s="2999"/>
      <c r="B119" s="1536"/>
      <c r="C119" s="1361"/>
      <c r="D119" s="1372"/>
      <c r="E119" s="1599"/>
      <c r="F119" s="1600" t="s">
        <v>613</v>
      </c>
      <c r="G119" s="1373"/>
      <c r="H119" s="1374"/>
      <c r="I119" s="1374"/>
      <c r="J119" s="4622"/>
      <c r="K119" s="4623"/>
      <c r="L119" s="4624"/>
      <c r="M119" s="4625"/>
      <c r="N119" s="1629" t="s">
        <v>614</v>
      </c>
      <c r="O119" s="1360"/>
      <c r="P119" s="1361"/>
      <c r="Q119" s="1361"/>
      <c r="R119" s="1536"/>
      <c r="S119" s="1536"/>
      <c r="T119" s="1536"/>
      <c r="U119" s="1536"/>
      <c r="V119" s="1361"/>
      <c r="W119" s="1536"/>
      <c r="X119" s="1536"/>
      <c r="Y119" s="1362"/>
      <c r="Z119" s="1536"/>
      <c r="AA119" s="1536"/>
      <c r="AB119" s="1536"/>
      <c r="AC119" s="1536"/>
      <c r="AD119" s="1536"/>
      <c r="AE119" s="1363"/>
      <c r="AF119" s="1363"/>
      <c r="AG119" s="1363"/>
      <c r="AH119" s="1363"/>
      <c r="AI119" s="1363"/>
      <c r="AJ119" s="1365">
        <v>0</v>
      </c>
    </row>
    <row customHeight="1" ht="22.5">
      <c r="A120" s="2997" t="s">
        <v>615</v>
      </c>
      <c r="D120" s="2264"/>
      <c r="E120" s="1172" t="str">
        <f>FHD_NUM_P_78</f>
        <v>15</v>
      </c>
      <c r="F120" s="250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503" t="s">
        <v>578</v>
      </c>
      <c r="H120" s="1203"/>
      <c r="I120" s="1203"/>
      <c r="J120" s="4552"/>
      <c r="K120" s="4552"/>
      <c r="L120" s="4552"/>
      <c r="M120" s="4552"/>
      <c r="N120" s="915" t="str">
        <f>FHD_NOTE_P_78</f>
        <v/>
      </c>
      <c r="O120" s="1169"/>
      <c r="AJ120" s="2257">
        <v>0</v>
      </c>
    </row>
    <row s="34658" customFormat="1" customHeight="1" ht="0.75">
      <c r="A121" s="2997"/>
      <c r="D121" s="1174"/>
      <c r="E121" s="1639" t="str">
        <f>E120&amp;".0"</f>
        <v>15.0</v>
      </c>
      <c r="F121" s="1623"/>
      <c r="G121" s="2277"/>
      <c r="H121" s="1618"/>
      <c r="I121" s="1618"/>
      <c r="J121" s="4564"/>
      <c r="K121" s="4564"/>
      <c r="L121" s="4564"/>
      <c r="M121" s="4564"/>
      <c r="N121" s="1622"/>
      <c r="AJ121" s="2262">
        <v>0</v>
      </c>
    </row>
    <row customHeight="1" ht="15">
      <c r="A122" s="2997"/>
      <c r="D122" s="2259"/>
      <c r="E122" s="1196"/>
      <c r="F122" s="1794" t="s">
        <v>604</v>
      </c>
      <c r="G122" s="1198"/>
      <c r="H122" s="1199"/>
      <c r="I122" s="1199"/>
      <c r="J122" s="4627"/>
      <c r="K122" s="4628"/>
      <c r="L122" s="4629"/>
      <c r="M122" s="4630"/>
      <c r="N122" s="1630" t="s">
        <v>616</v>
      </c>
      <c r="O122" s="1169"/>
      <c r="AJ122" s="2257">
        <v>0</v>
      </c>
    </row>
    <row customHeight="1" ht="22.5">
      <c r="A123" s="2997"/>
      <c r="D123" s="2264"/>
      <c r="E123" s="1172" t="str">
        <f>FHD_NUM_P_79</f>
        <v>16</v>
      </c>
      <c r="F123" s="250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504" t="s">
        <v>580</v>
      </c>
      <c r="H123" s="1203"/>
      <c r="I123" s="1203"/>
      <c r="J123" s="4552"/>
      <c r="K123" s="4552"/>
      <c r="L123" s="4552"/>
      <c r="M123" s="4552"/>
      <c r="N123" s="91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123" s="1169"/>
      <c r="AJ123" s="2257">
        <v>0</v>
      </c>
    </row>
    <row s="34658" customFormat="1" customHeight="1" ht="0.75">
      <c r="A124" s="2997"/>
      <c r="D124" s="1174"/>
      <c r="E124" s="1639" t="str">
        <f>E123&amp;".0"</f>
        <v>16.0</v>
      </c>
      <c r="F124" s="1624"/>
      <c r="G124" s="2277"/>
      <c r="H124" s="1618"/>
      <c r="I124" s="1618"/>
      <c r="J124" s="4564"/>
      <c r="K124" s="4564"/>
      <c r="L124" s="4564"/>
      <c r="M124" s="4564"/>
      <c r="N124" s="1622"/>
      <c r="AJ124" s="2262">
        <v>0</v>
      </c>
    </row>
    <row customHeight="1" ht="15">
      <c r="A125" s="2997"/>
      <c r="D125" s="2259"/>
      <c r="E125" s="1196"/>
      <c r="F125" s="1794" t="s">
        <v>604</v>
      </c>
      <c r="G125" s="1198"/>
      <c r="H125" s="1199"/>
      <c r="I125" s="1199"/>
      <c r="J125" s="4632"/>
      <c r="K125" s="4633"/>
      <c r="L125" s="4634"/>
      <c r="M125" s="4635"/>
      <c r="N125" s="1630" t="s">
        <v>617</v>
      </c>
      <c r="O125" s="1169"/>
      <c r="AJ125" s="2257">
        <v>0</v>
      </c>
    </row>
    <row customHeight="1" ht="22.5">
      <c r="A126" s="2997"/>
      <c r="D126" s="2264"/>
      <c r="E126" s="1172" t="str">
        <f>FHD_NUM_P_80</f>
        <v>17</v>
      </c>
      <c r="F126" s="250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504" t="s">
        <v>618</v>
      </c>
      <c r="H126" s="1183"/>
      <c r="I126" s="1183"/>
      <c r="J126" s="4521"/>
      <c r="K126" s="4521"/>
      <c r="L126" s="4521"/>
      <c r="M126" s="4521"/>
      <c r="N126" s="915" t="str">
        <f>FHD_NOTE_P_80</f>
        <v>Регулируемыми организациями указывается информация с по договорам, заключенным в рамках осуществления регулируемой деятельности.</v>
      </c>
      <c r="O126" s="1169"/>
      <c r="AJ126" s="2257">
        <v>0</v>
      </c>
    </row>
    <row customHeight="1" ht="18.75">
      <c r="A127" s="2997"/>
      <c r="D127" s="2264"/>
      <c r="E127" s="1172" t="str">
        <f>FHD_NUM_P_81</f>
        <v>18</v>
      </c>
      <c r="F127" s="250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504" t="s">
        <v>619</v>
      </c>
      <c r="H127" s="1183"/>
      <c r="I127" s="1183"/>
      <c r="J127" s="4521"/>
      <c r="K127" s="4521"/>
      <c r="L127" s="4521"/>
      <c r="M127" s="4521"/>
      <c r="N127" s="915" t="str">
        <f>FHD_NOTE_P_81</f>
        <v>Регулируемыми организациями указывается информация с по договорам, заключенным в рамках осуществления регулируемой деятельности.</v>
      </c>
      <c r="O127" s="1169"/>
      <c r="AJ127" s="2257">
        <v>0</v>
      </c>
    </row>
    <row customHeight="1" ht="18.75">
      <c r="A128" s="2997"/>
      <c r="C128" s="2262" t="s">
        <v>606</v>
      </c>
      <c r="D128" s="2264"/>
      <c r="E128" s="1172" t="str">
        <f>FHD_NUM_P_82</f>
        <v>19</v>
      </c>
      <c r="F128" s="250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504" t="s">
        <v>324</v>
      </c>
      <c r="H128" s="1027"/>
      <c r="I128" s="1027"/>
      <c r="J128" s="4637"/>
      <c r="K128" s="4637"/>
      <c r="L128" s="4637"/>
      <c r="M128" s="4637"/>
      <c r="N128" s="915" t="str">
        <f>FHD_NOTE_P_82</f>
        <v>Указывается ссылка на документ, предварительно загруженный в хранилище файлов ФГИС ЕИАС.</v>
      </c>
      <c r="O128" s="1169"/>
      <c r="AJ128" s="2257">
        <v>0</v>
      </c>
    </row>
    <row customHeight="1" ht="18.75">
      <c r="A129" s="2997"/>
      <c r="C129" s="2262" t="s">
        <v>606</v>
      </c>
      <c r="D129" s="2264"/>
      <c r="E129" s="1172" t="str">
        <f>FHD_NUM_P_83</f>
        <v>19.1</v>
      </c>
      <c r="F129" s="2150" t="str">
        <f>FHD_P_83</f>
        <v>Информация о показателях физического износа объектов теплоснабжения</v>
      </c>
      <c r="G129" s="2504" t="s">
        <v>324</v>
      </c>
      <c r="H129" s="1027"/>
      <c r="I129" s="1027"/>
      <c r="J129" s="4637"/>
      <c r="K129" s="4637"/>
      <c r="L129" s="4637"/>
      <c r="M129" s="4637"/>
      <c r="N129" s="915" t="str">
        <f>FHD_NOTE_P_83</f>
        <v>Указывается ссылка на документ, предварительно загруженный в хранилище файлов ФГИС ЕИАС.</v>
      </c>
      <c r="O129" s="1169"/>
      <c r="AJ129" s="2257">
        <v>0</v>
      </c>
    </row>
    <row customHeight="1" ht="18.75">
      <c r="A130" s="2997"/>
      <c r="C130" s="2262" t="s">
        <v>606</v>
      </c>
      <c r="D130" s="2264"/>
      <c r="E130" s="1172" t="str">
        <f>FHD_NUM_P_84</f>
        <v>19.2</v>
      </c>
      <c r="F130" s="2150" t="str">
        <f>FHD_P_84</f>
        <v>Информация о показателях энергетической эффективности объектов теплоснабжения</v>
      </c>
      <c r="G130" s="2504" t="s">
        <v>324</v>
      </c>
      <c r="H130" s="1027"/>
      <c r="I130" s="1027"/>
      <c r="J130" s="4637"/>
      <c r="K130" s="4637"/>
      <c r="L130" s="4637"/>
      <c r="M130" s="4637"/>
      <c r="N130" s="915" t="str">
        <f>FHD_NOTE_P_84</f>
        <v>Указывается ссылка на документ, предварительно загруженный в хранилище файлов ФГИС ЕИАС.</v>
      </c>
      <c r="O130" s="1169"/>
      <c r="AJ130" s="2257">
        <v>0</v>
      </c>
    </row>
    <row customHeight="1" ht="11.549999999999999">
      <c r="D131" s="2264"/>
      <c r="J131" s="4469"/>
      <c r="K131" s="4469"/>
      <c r="L131" s="4469"/>
      <c r="M131" s="4469"/>
      <c r="AJ131" s="2257">
        <v>11</v>
      </c>
    </row>
    <row customHeight="1" ht="13.5">
      <c r="D132" s="2264"/>
      <c r="E132" s="962"/>
      <c r="F132" s="995"/>
      <c r="G132" s="995"/>
      <c r="H132" s="995"/>
      <c r="I132" s="2273"/>
      <c r="J132" s="4640"/>
      <c r="K132" s="4640"/>
      <c r="L132" s="4640"/>
      <c r="M132" s="4640"/>
      <c r="N132" s="1207"/>
      <c r="AJ132" s="2257">
        <v>13</v>
      </c>
    </row>
    <row s="35197" customFormat="1" customHeight="1" ht="11.549999999999999">
      <c r="A133" s="1613"/>
      <c r="B133" s="2262"/>
      <c r="C133" s="2262"/>
      <c r="D133" s="977"/>
      <c r="F133" s="2266"/>
      <c r="G133" s="2257"/>
      <c r="H133" s="2257"/>
      <c r="I133" s="2257"/>
      <c r="J133" s="4469"/>
      <c r="K133" s="4469"/>
      <c r="L133" s="4469"/>
      <c r="M133" s="4469"/>
      <c r="O133" s="1786"/>
      <c r="P133" s="2262"/>
      <c r="Q133" s="2262"/>
      <c r="R133" s="1786"/>
      <c r="S133" s="1786"/>
      <c r="T133" s="1786"/>
      <c r="U133" s="1786"/>
      <c r="V133" s="2262"/>
      <c r="W133" s="1786"/>
      <c r="X133" s="1786"/>
      <c r="Y133" s="1170"/>
      <c r="Z133" s="1786"/>
      <c r="AA133" s="1786"/>
      <c r="AB133" s="1786"/>
      <c r="AC133" s="1786"/>
      <c r="AD133" s="1786"/>
      <c r="AE133" s="2258"/>
      <c r="AF133" s="1192"/>
      <c r="AG133" s="1192"/>
      <c r="AH133" s="1192"/>
      <c r="AI133" s="1192"/>
      <c r="AJ133" s="2267">
        <v>11</v>
      </c>
    </row>
    <row s="35197" customFormat="1" customHeight="1" ht="11.549999999999999">
      <c r="A134" s="1613"/>
      <c r="B134" s="2262"/>
      <c r="C134" s="2262"/>
      <c r="D134" s="977"/>
      <c r="J134" s="4642"/>
      <c r="K134" s="4642"/>
      <c r="L134" s="4642"/>
      <c r="M134" s="4642"/>
      <c r="O134" s="1786"/>
      <c r="P134" s="2262"/>
      <c r="Q134" s="2262"/>
      <c r="R134" s="1786"/>
      <c r="S134" s="1786"/>
      <c r="T134" s="1786"/>
      <c r="U134" s="1786"/>
      <c r="V134" s="2262"/>
      <c r="W134" s="1786"/>
      <c r="X134" s="1786"/>
      <c r="Y134" s="1170"/>
      <c r="Z134" s="1786"/>
      <c r="AA134" s="1786"/>
      <c r="AB134" s="1786"/>
      <c r="AC134" s="1786"/>
      <c r="AD134" s="1786"/>
      <c r="AE134" s="2258"/>
      <c r="AF134" s="1192"/>
      <c r="AG134" s="1192"/>
      <c r="AH134" s="1192"/>
      <c r="AI134" s="1192"/>
      <c r="AJ134" s="2267">
        <v>11</v>
      </c>
    </row>
    <row s="35197" customFormat="1" customHeight="1" ht="11.549999999999999">
      <c r="A135" s="1613"/>
      <c r="B135" s="2262"/>
      <c r="C135" s="2262"/>
      <c r="D135" s="977"/>
      <c r="J135" s="4642"/>
      <c r="K135" s="4642"/>
      <c r="L135" s="4642"/>
      <c r="M135" s="4642"/>
      <c r="O135" s="1786"/>
      <c r="P135" s="2262"/>
      <c r="Q135" s="2262"/>
      <c r="R135" s="1786"/>
      <c r="S135" s="1786"/>
      <c r="T135" s="1786"/>
      <c r="U135" s="1786"/>
      <c r="V135" s="2262"/>
      <c r="W135" s="1786"/>
      <c r="X135" s="1786"/>
      <c r="Y135" s="1170"/>
      <c r="Z135" s="1786"/>
      <c r="AA135" s="1786"/>
      <c r="AB135" s="1786"/>
      <c r="AC135" s="1786"/>
      <c r="AD135" s="1786"/>
      <c r="AE135" s="2258"/>
      <c r="AF135" s="1192"/>
      <c r="AG135" s="1192"/>
      <c r="AH135" s="1192"/>
      <c r="AI135" s="1192"/>
      <c r="AJ135" s="2267">
        <v>11</v>
      </c>
    </row>
    <row s="35197" customFormat="1" customHeight="1" ht="11.549999999999999">
      <c r="A136" s="1613"/>
      <c r="B136" s="2262"/>
      <c r="C136" s="2262"/>
      <c r="D136" s="977"/>
      <c r="H136" s="1192" t="str">
        <f>IF(H30-H31&lt;&gt;H72,"WARNING","")</f>
        <v/>
      </c>
      <c r="I136" s="1192" t="str">
        <f>IF(I30-I31&lt;&gt;I72,"WARNING","")</f>
        <v/>
      </c>
      <c r="J136" s="4643" t="str">
        <f>IF(J30-J31&lt;&gt;J72,"WARNING","")</f>
        <v/>
      </c>
      <c r="K136" s="4643" t="str">
        <f>IF(K30-K31&lt;&gt;K72,"WARNING","")</f>
        <v/>
      </c>
      <c r="L136" s="4643" t="str">
        <f>IF(L30-L31&lt;&gt;L72,"WARNING","")</f>
        <v/>
      </c>
      <c r="M136" s="4643" t="str">
        <f>IF(M30-M31&lt;&gt;M72,"WARNING","")</f>
        <v/>
      </c>
      <c r="O136" s="1786"/>
      <c r="P136" s="2262"/>
      <c r="Q136" s="2262"/>
      <c r="R136" s="1786"/>
      <c r="S136" s="1786"/>
      <c r="T136" s="1786"/>
      <c r="U136" s="1786"/>
      <c r="V136" s="2262"/>
      <c r="W136" s="1786"/>
      <c r="X136" s="1786"/>
      <c r="Y136" s="1170"/>
      <c r="Z136" s="1786"/>
      <c r="AA136" s="1786"/>
      <c r="AB136" s="1786"/>
      <c r="AC136" s="1786"/>
      <c r="AD136" s="1786"/>
      <c r="AE136" s="2258"/>
      <c r="AF136" s="1192"/>
      <c r="AG136" s="1192"/>
      <c r="AH136" s="1192"/>
      <c r="AI136" s="1192"/>
      <c r="AJ136" s="2267">
        <v>11</v>
      </c>
    </row>
    <row s="35197" customFormat="1" customHeight="1" ht="11.549999999999999">
      <c r="A137" s="1613"/>
      <c r="B137" s="2262"/>
      <c r="C137" s="2262"/>
      <c r="D137" s="977"/>
      <c r="J137" s="4642"/>
      <c r="K137" s="4642"/>
      <c r="L137" s="4642"/>
      <c r="M137" s="4642"/>
      <c r="O137" s="1786"/>
      <c r="P137" s="2262"/>
      <c r="Q137" s="2262"/>
      <c r="R137" s="1786"/>
      <c r="S137" s="1786"/>
      <c r="T137" s="1786"/>
      <c r="U137" s="1786"/>
      <c r="V137" s="2262"/>
      <c r="W137" s="1786"/>
      <c r="X137" s="1786"/>
      <c r="Y137" s="1170"/>
      <c r="Z137" s="1786"/>
      <c r="AA137" s="1786"/>
      <c r="AB137" s="1786"/>
      <c r="AC137" s="1786"/>
      <c r="AD137" s="1786"/>
      <c r="AE137" s="2258"/>
      <c r="AF137" s="1192"/>
      <c r="AG137" s="1192"/>
      <c r="AH137" s="1192"/>
      <c r="AI137" s="1192"/>
      <c r="AJ137" s="2267">
        <v>11</v>
      </c>
    </row>
    <row s="35197" customFormat="1" customHeight="1" ht="11.549999999999999">
      <c r="A138" s="1613"/>
      <c r="B138" s="2262"/>
      <c r="C138" s="2262"/>
      <c r="D138" s="977"/>
      <c r="J138" s="4642"/>
      <c r="K138" s="4642"/>
      <c r="L138" s="4642"/>
      <c r="M138" s="4642"/>
      <c r="O138" s="1786"/>
      <c r="P138" s="2262"/>
      <c r="Q138" s="2262"/>
      <c r="R138" s="1786"/>
      <c r="S138" s="1786"/>
      <c r="T138" s="1786"/>
      <c r="U138" s="1786"/>
      <c r="V138" s="2262"/>
      <c r="W138" s="1786"/>
      <c r="X138" s="1786"/>
      <c r="Y138" s="1170"/>
      <c r="Z138" s="1786"/>
      <c r="AA138" s="1786"/>
      <c r="AB138" s="1786"/>
      <c r="AC138" s="1786"/>
      <c r="AD138" s="1786"/>
      <c r="AE138" s="2258"/>
      <c r="AF138" s="1192"/>
      <c r="AG138" s="1192"/>
      <c r="AH138" s="1192"/>
      <c r="AI138" s="1192"/>
      <c r="AJ138" s="2267">
        <v>11</v>
      </c>
    </row>
    <row s="35197" customFormat="1" customHeight="1" ht="11.549999999999999">
      <c r="A139" s="1613"/>
      <c r="B139" s="2262"/>
      <c r="C139" s="2262"/>
      <c r="D139" s="977"/>
      <c r="J139" s="4642"/>
      <c r="K139" s="4642"/>
      <c r="L139" s="4642"/>
      <c r="M139" s="4642"/>
      <c r="O139" s="1786"/>
      <c r="P139" s="2262"/>
      <c r="Q139" s="2262"/>
      <c r="R139" s="1786"/>
      <c r="S139" s="1786"/>
      <c r="T139" s="1786"/>
      <c r="U139" s="1786"/>
      <c r="V139" s="2262"/>
      <c r="W139" s="1786"/>
      <c r="X139" s="1786"/>
      <c r="Y139" s="1170"/>
      <c r="Z139" s="1786"/>
      <c r="AA139" s="1786"/>
      <c r="AB139" s="1786"/>
      <c r="AC139" s="1786"/>
      <c r="AD139" s="1786"/>
      <c r="AE139" s="2258"/>
      <c r="AF139" s="1192"/>
      <c r="AG139" s="1192"/>
      <c r="AH139" s="1192"/>
      <c r="AI139" s="1192"/>
      <c r="AJ139" s="2267">
        <v>11</v>
      </c>
    </row>
    <row s="35197" customFormat="1" customHeight="1" ht="11.549999999999999">
      <c r="A140" s="1613"/>
      <c r="B140" s="2262"/>
      <c r="C140" s="2262"/>
      <c r="D140" s="977"/>
      <c r="J140" s="4642"/>
      <c r="K140" s="4642"/>
      <c r="L140" s="4642"/>
      <c r="M140" s="4642"/>
      <c r="O140" s="1786"/>
      <c r="P140" s="2262"/>
      <c r="Q140" s="2262"/>
      <c r="R140" s="1786"/>
      <c r="S140" s="1786"/>
      <c r="T140" s="1786"/>
      <c r="U140" s="1786"/>
      <c r="V140" s="2262"/>
      <c r="W140" s="1786"/>
      <c r="X140" s="1786"/>
      <c r="Y140" s="1170"/>
      <c r="Z140" s="1786"/>
      <c r="AA140" s="1786"/>
      <c r="AB140" s="1786"/>
      <c r="AC140" s="1786"/>
      <c r="AD140" s="1786"/>
      <c r="AE140" s="2258"/>
      <c r="AF140" s="1192"/>
      <c r="AG140" s="1192"/>
      <c r="AH140" s="1192"/>
      <c r="AI140" s="1192"/>
      <c r="AJ140" s="2267">
        <v>11</v>
      </c>
    </row>
    <row s="35197" customFormat="1" customHeight="1" ht="11.549999999999999">
      <c r="A141" s="1613"/>
      <c r="B141" s="2262"/>
      <c r="C141" s="2262"/>
      <c r="D141" s="977"/>
      <c r="J141" s="4642"/>
      <c r="K141" s="4642"/>
      <c r="L141" s="4642"/>
      <c r="M141" s="4642"/>
      <c r="O141" s="1786"/>
      <c r="P141" s="2262"/>
      <c r="Q141" s="2262"/>
      <c r="R141" s="1786"/>
      <c r="S141" s="1786"/>
      <c r="T141" s="1786"/>
      <c r="U141" s="1786"/>
      <c r="V141" s="2262"/>
      <c r="W141" s="1786"/>
      <c r="X141" s="1786"/>
      <c r="Y141" s="1170"/>
      <c r="Z141" s="1786"/>
      <c r="AA141" s="1786"/>
      <c r="AB141" s="1786"/>
      <c r="AC141" s="1786"/>
      <c r="AD141" s="1786"/>
      <c r="AE141" s="2258"/>
      <c r="AF141" s="1192"/>
      <c r="AG141" s="1192"/>
      <c r="AH141" s="1192"/>
      <c r="AI141" s="1192"/>
      <c r="AJ141" s="2267">
        <v>11</v>
      </c>
    </row>
    <row s="35197" customFormat="1" customHeight="1" ht="11.549999999999999">
      <c r="A142" s="1613"/>
      <c r="B142" s="2262"/>
      <c r="C142" s="2262"/>
      <c r="D142" s="977"/>
      <c r="J142" s="4642"/>
      <c r="K142" s="4642"/>
      <c r="L142" s="4642"/>
      <c r="M142" s="4642"/>
      <c r="O142" s="1786"/>
      <c r="P142" s="2262"/>
      <c r="Q142" s="2262"/>
      <c r="R142" s="1786"/>
      <c r="S142" s="1786"/>
      <c r="T142" s="1786"/>
      <c r="U142" s="1786"/>
      <c r="V142" s="2262"/>
      <c r="W142" s="1786"/>
      <c r="X142" s="1786"/>
      <c r="Y142" s="1170"/>
      <c r="Z142" s="1786"/>
      <c r="AA142" s="1786"/>
      <c r="AB142" s="1786"/>
      <c r="AC142" s="1786"/>
      <c r="AD142" s="1786"/>
      <c r="AE142" s="2258"/>
      <c r="AF142" s="1192"/>
      <c r="AG142" s="1192"/>
      <c r="AH142" s="1192"/>
      <c r="AI142" s="1192"/>
      <c r="AJ142" s="2267">
        <v>11</v>
      </c>
    </row>
    <row s="35197" customFormat="1" customHeight="1" ht="11.549999999999999">
      <c r="A143" s="1613"/>
      <c r="B143" s="2262"/>
      <c r="C143" s="2262"/>
      <c r="D143" s="977"/>
      <c r="J143" s="4642"/>
      <c r="K143" s="4642"/>
      <c r="L143" s="4642"/>
      <c r="M143" s="4642"/>
      <c r="O143" s="1786"/>
      <c r="P143" s="2262"/>
      <c r="Q143" s="2262"/>
      <c r="R143" s="1786"/>
      <c r="S143" s="1786"/>
      <c r="T143" s="1786"/>
      <c r="U143" s="1786"/>
      <c r="V143" s="2262"/>
      <c r="W143" s="1786"/>
      <c r="X143" s="1786"/>
      <c r="Y143" s="1170"/>
      <c r="Z143" s="1786"/>
      <c r="AA143" s="1786"/>
      <c r="AB143" s="1786"/>
      <c r="AC143" s="1786"/>
      <c r="AD143" s="1786"/>
      <c r="AE143" s="2258"/>
      <c r="AF143" s="1192"/>
      <c r="AG143" s="1192"/>
      <c r="AH143" s="1192"/>
      <c r="AI143" s="1192"/>
      <c r="AJ143" s="2267">
        <v>11</v>
      </c>
    </row>
    <row s="35197" customFormat="1" customHeight="1" ht="11.549999999999999">
      <c r="A144" s="1613"/>
      <c r="B144" s="2262"/>
      <c r="C144" s="2262"/>
      <c r="D144" s="977"/>
      <c r="J144" s="4642"/>
      <c r="K144" s="4642"/>
      <c r="L144" s="4642"/>
      <c r="M144" s="4642"/>
      <c r="O144" s="1786"/>
      <c r="P144" s="2262"/>
      <c r="Q144" s="2262"/>
      <c r="R144" s="1786"/>
      <c r="S144" s="1786"/>
      <c r="T144" s="1786"/>
      <c r="U144" s="1786"/>
      <c r="V144" s="2262"/>
      <c r="W144" s="1786"/>
      <c r="X144" s="1786"/>
      <c r="Y144" s="1170"/>
      <c r="Z144" s="1786"/>
      <c r="AA144" s="1786"/>
      <c r="AB144" s="1786"/>
      <c r="AC144" s="1786"/>
      <c r="AD144" s="1786"/>
      <c r="AE144" s="2258"/>
      <c r="AF144" s="1192"/>
      <c r="AG144" s="1192"/>
      <c r="AH144" s="1192"/>
      <c r="AI144" s="1192"/>
      <c r="AJ144" s="2267">
        <v>11</v>
      </c>
    </row>
    <row s="35197" customFormat="1" customHeight="1" ht="11.549999999999999">
      <c r="A145" s="1613"/>
      <c r="B145" s="2262"/>
      <c r="C145" s="2262"/>
      <c r="D145" s="977"/>
      <c r="J145" s="4642"/>
      <c r="K145" s="4642"/>
      <c r="L145" s="4642"/>
      <c r="M145" s="4642"/>
      <c r="O145" s="1786"/>
      <c r="P145" s="2262"/>
      <c r="Q145" s="2262"/>
      <c r="R145" s="1786"/>
      <c r="S145" s="1786"/>
      <c r="T145" s="1786"/>
      <c r="U145" s="1786"/>
      <c r="V145" s="2262"/>
      <c r="W145" s="1786"/>
      <c r="X145" s="1786"/>
      <c r="Y145" s="1170"/>
      <c r="Z145" s="1786"/>
      <c r="AA145" s="1786"/>
      <c r="AB145" s="1786"/>
      <c r="AC145" s="1786"/>
      <c r="AD145" s="1786"/>
      <c r="AE145" s="2258"/>
      <c r="AF145" s="1192"/>
      <c r="AG145" s="1192"/>
      <c r="AH145" s="1192"/>
      <c r="AI145" s="1192"/>
      <c r="AJ145" s="2267">
        <v>11</v>
      </c>
    </row>
    <row s="35197" customFormat="1" customHeight="1" ht="11.549999999999999">
      <c r="A146" s="1613"/>
      <c r="B146" s="2262"/>
      <c r="C146" s="2262"/>
      <c r="D146" s="977"/>
      <c r="J146" s="4642"/>
      <c r="K146" s="4642"/>
      <c r="L146" s="4642"/>
      <c r="M146" s="4642"/>
      <c r="O146" s="1786"/>
      <c r="P146" s="2262"/>
      <c r="Q146" s="2262"/>
      <c r="R146" s="1786"/>
      <c r="S146" s="1786"/>
      <c r="T146" s="1786"/>
      <c r="U146" s="1786"/>
      <c r="V146" s="2262"/>
      <c r="W146" s="1786"/>
      <c r="X146" s="1786"/>
      <c r="Y146" s="1170"/>
      <c r="Z146" s="1786"/>
      <c r="AA146" s="1786"/>
      <c r="AB146" s="1786"/>
      <c r="AC146" s="1786"/>
      <c r="AD146" s="1786"/>
      <c r="AE146" s="2258"/>
      <c r="AF146" s="1192"/>
      <c r="AG146" s="1192"/>
      <c r="AH146" s="1192"/>
      <c r="AI146" s="1192"/>
      <c r="AJ146" s="2267">
        <v>11</v>
      </c>
    </row>
    <row s="35197" customFormat="1" customHeight="1" ht="11.549999999999999">
      <c r="A147" s="1613"/>
      <c r="B147" s="2262"/>
      <c r="C147" s="2262"/>
      <c r="D147" s="977"/>
      <c r="J147" s="4642"/>
      <c r="K147" s="4642"/>
      <c r="L147" s="4642"/>
      <c r="M147" s="4642"/>
      <c r="O147" s="1786"/>
      <c r="P147" s="2262"/>
      <c r="Q147" s="2262"/>
      <c r="R147" s="1786"/>
      <c r="S147" s="1786"/>
      <c r="T147" s="1786"/>
      <c r="U147" s="1786"/>
      <c r="V147" s="2262"/>
      <c r="W147" s="1786"/>
      <c r="X147" s="1786"/>
      <c r="Y147" s="1170"/>
      <c r="Z147" s="1786"/>
      <c r="AA147" s="1786"/>
      <c r="AB147" s="1786"/>
      <c r="AC147" s="1786"/>
      <c r="AD147" s="1786"/>
      <c r="AE147" s="2258"/>
      <c r="AF147" s="1192"/>
      <c r="AG147" s="1192"/>
      <c r="AH147" s="1192"/>
      <c r="AI147" s="1192"/>
      <c r="AJ147" s="2267">
        <v>11</v>
      </c>
    </row>
    <row s="35197" customFormat="1" customHeight="1" ht="11.549999999999999">
      <c r="A148" s="1613"/>
      <c r="B148" s="2262"/>
      <c r="C148" s="2262"/>
      <c r="D148" s="977"/>
      <c r="J148" s="4642"/>
      <c r="K148" s="4642"/>
      <c r="L148" s="4642"/>
      <c r="M148" s="4642"/>
      <c r="O148" s="1786"/>
      <c r="P148" s="2262"/>
      <c r="Q148" s="2262"/>
      <c r="R148" s="1786"/>
      <c r="S148" s="1786"/>
      <c r="T148" s="1786"/>
      <c r="U148" s="1786"/>
      <c r="V148" s="2262"/>
      <c r="W148" s="1786"/>
      <c r="X148" s="1786"/>
      <c r="Y148" s="1170"/>
      <c r="Z148" s="1786"/>
      <c r="AA148" s="1786"/>
      <c r="AB148" s="1786"/>
      <c r="AC148" s="1786"/>
      <c r="AD148" s="1786"/>
      <c r="AE148" s="2258"/>
      <c r="AF148" s="1192"/>
      <c r="AG148" s="1192"/>
      <c r="AH148" s="1192"/>
      <c r="AI148" s="1192"/>
      <c r="AJ148" s="2267">
        <v>11</v>
      </c>
    </row>
    <row s="35197" customFormat="1" customHeight="1" ht="11.549999999999999">
      <c r="A149" s="1613"/>
      <c r="B149" s="2262"/>
      <c r="C149" s="2262"/>
      <c r="D149" s="977"/>
      <c r="J149" s="4642"/>
      <c r="K149" s="4642"/>
      <c r="L149" s="4642"/>
      <c r="M149" s="4642"/>
      <c r="O149" s="1786"/>
      <c r="P149" s="2262"/>
      <c r="Q149" s="2262"/>
      <c r="R149" s="1786"/>
      <c r="S149" s="1786"/>
      <c r="T149" s="1786"/>
      <c r="U149" s="1786"/>
      <c r="V149" s="2262"/>
      <c r="W149" s="1786"/>
      <c r="X149" s="1786"/>
      <c r="Y149" s="1170"/>
      <c r="Z149" s="1786"/>
      <c r="AA149" s="1786"/>
      <c r="AB149" s="1786"/>
      <c r="AC149" s="1786"/>
      <c r="AD149" s="1786"/>
      <c r="AE149" s="2258"/>
      <c r="AF149" s="1192"/>
      <c r="AG149" s="1192"/>
      <c r="AH149" s="1192"/>
      <c r="AI149" s="1192"/>
      <c r="AJ149" s="2267">
        <v>11</v>
      </c>
    </row>
    <row s="35197" customFormat="1" customHeight="1" ht="11.549999999999999">
      <c r="A150" s="1613"/>
      <c r="B150" s="2262"/>
      <c r="C150" s="2262"/>
      <c r="D150" s="977"/>
      <c r="J150" s="4642"/>
      <c r="K150" s="4642"/>
      <c r="L150" s="4642"/>
      <c r="M150" s="4642"/>
      <c r="O150" s="1786"/>
      <c r="P150" s="2262"/>
      <c r="Q150" s="2262"/>
      <c r="R150" s="1786"/>
      <c r="S150" s="1786"/>
      <c r="T150" s="1786"/>
      <c r="U150" s="1786"/>
      <c r="V150" s="2262"/>
      <c r="W150" s="1786"/>
      <c r="X150" s="1786"/>
      <c r="Y150" s="1170"/>
      <c r="Z150" s="1786"/>
      <c r="AA150" s="1786"/>
      <c r="AB150" s="1786"/>
      <c r="AC150" s="1786"/>
      <c r="AD150" s="1786"/>
      <c r="AE150" s="2258"/>
      <c r="AF150" s="1192"/>
      <c r="AG150" s="1192"/>
      <c r="AH150" s="1192"/>
      <c r="AI150" s="1192"/>
      <c r="AJ150" s="2267">
        <v>11</v>
      </c>
    </row>
    <row s="35197" customFormat="1" customHeight="1" ht="11.549999999999999">
      <c r="A151" s="1613"/>
      <c r="B151" s="2262"/>
      <c r="C151" s="2262"/>
      <c r="D151" s="977"/>
      <c r="J151" s="4642"/>
      <c r="K151" s="4642"/>
      <c r="L151" s="4642"/>
      <c r="M151" s="4642"/>
      <c r="O151" s="1786"/>
      <c r="P151" s="2262"/>
      <c r="Q151" s="2262"/>
      <c r="R151" s="1786"/>
      <c r="S151" s="1786"/>
      <c r="T151" s="1786"/>
      <c r="U151" s="1786"/>
      <c r="V151" s="2262"/>
      <c r="W151" s="1786"/>
      <c r="X151" s="1786"/>
      <c r="Y151" s="1170"/>
      <c r="Z151" s="1786"/>
      <c r="AA151" s="1786"/>
      <c r="AB151" s="1786"/>
      <c r="AC151" s="1786"/>
      <c r="AD151" s="1786"/>
      <c r="AE151" s="2258"/>
      <c r="AF151" s="1192"/>
      <c r="AG151" s="1192"/>
      <c r="AH151" s="1192"/>
      <c r="AI151" s="1192"/>
      <c r="AJ151" s="2267">
        <v>11</v>
      </c>
    </row>
    <row s="35197" customFormat="1" customHeight="1" ht="11.549999999999999">
      <c r="A152" s="1613"/>
      <c r="B152" s="2262"/>
      <c r="C152" s="2262"/>
      <c r="D152" s="977"/>
      <c r="J152" s="4642"/>
      <c r="K152" s="4642"/>
      <c r="L152" s="4642"/>
      <c r="M152" s="4642"/>
      <c r="O152" s="1786"/>
      <c r="P152" s="2262"/>
      <c r="Q152" s="2262"/>
      <c r="R152" s="1786"/>
      <c r="S152" s="1786"/>
      <c r="T152" s="1786"/>
      <c r="U152" s="1786"/>
      <c r="V152" s="2262"/>
      <c r="W152" s="1786"/>
      <c r="X152" s="1786"/>
      <c r="Y152" s="1170"/>
      <c r="Z152" s="1786"/>
      <c r="AA152" s="1786"/>
      <c r="AB152" s="1786"/>
      <c r="AC152" s="1786"/>
      <c r="AD152" s="1786"/>
      <c r="AE152" s="2258"/>
      <c r="AF152" s="1192"/>
      <c r="AG152" s="1192"/>
      <c r="AH152" s="1192"/>
      <c r="AI152" s="1192"/>
      <c r="AJ152" s="2267">
        <v>11</v>
      </c>
    </row>
    <row s="35197" customFormat="1" customHeight="1" ht="11.549999999999999">
      <c r="A153" s="1613"/>
      <c r="B153" s="2262"/>
      <c r="C153" s="2262"/>
      <c r="D153" s="977"/>
      <c r="J153" s="4642"/>
      <c r="K153" s="4642"/>
      <c r="L153" s="4642"/>
      <c r="M153" s="4642"/>
      <c r="O153" s="1786"/>
      <c r="P153" s="2262"/>
      <c r="Q153" s="2262"/>
      <c r="R153" s="1786"/>
      <c r="S153" s="1786"/>
      <c r="T153" s="1786"/>
      <c r="U153" s="1786"/>
      <c r="V153" s="2262"/>
      <c r="W153" s="1786"/>
      <c r="X153" s="1786"/>
      <c r="Y153" s="1170"/>
      <c r="Z153" s="1786"/>
      <c r="AA153" s="1786"/>
      <c r="AB153" s="1786"/>
      <c r="AC153" s="1786"/>
      <c r="AD153" s="1786"/>
      <c r="AE153" s="2258"/>
      <c r="AF153" s="1192"/>
      <c r="AG153" s="1192"/>
      <c r="AH153" s="1192"/>
      <c r="AI153" s="1192"/>
      <c r="AJ153" s="2267">
        <v>11</v>
      </c>
    </row>
    <row s="35197" customFormat="1" customHeight="1" ht="11.549999999999999">
      <c r="A154" s="1613"/>
      <c r="B154" s="2262"/>
      <c r="C154" s="2262"/>
      <c r="D154" s="977"/>
      <c r="J154" s="4642"/>
      <c r="K154" s="4642"/>
      <c r="L154" s="4642"/>
      <c r="M154" s="4642"/>
      <c r="O154" s="1786"/>
      <c r="P154" s="2262"/>
      <c r="Q154" s="2262"/>
      <c r="R154" s="1786"/>
      <c r="S154" s="1786"/>
      <c r="T154" s="1786"/>
      <c r="U154" s="1786"/>
      <c r="V154" s="2262"/>
      <c r="W154" s="1786"/>
      <c r="X154" s="1786"/>
      <c r="Y154" s="1170"/>
      <c r="Z154" s="1786"/>
      <c r="AA154" s="1786"/>
      <c r="AB154" s="1786"/>
      <c r="AC154" s="1786"/>
      <c r="AD154" s="1786"/>
      <c r="AE154" s="2258"/>
      <c r="AF154" s="1192"/>
      <c r="AG154" s="1192"/>
      <c r="AH154" s="1192"/>
      <c r="AI154" s="1192"/>
      <c r="AJ154" s="2267">
        <v>11</v>
      </c>
    </row>
    <row s="35197" customFormat="1" customHeight="1" ht="11.549999999999999">
      <c r="A155" s="1613"/>
      <c r="B155" s="2262"/>
      <c r="C155" s="2262"/>
      <c r="D155" s="977"/>
      <c r="J155" s="4642"/>
      <c r="K155" s="4642"/>
      <c r="L155" s="4642"/>
      <c r="M155" s="4642"/>
      <c r="O155" s="1786"/>
      <c r="P155" s="2262"/>
      <c r="Q155" s="2262"/>
      <c r="R155" s="1786"/>
      <c r="S155" s="1786"/>
      <c r="T155" s="1786"/>
      <c r="U155" s="1786"/>
      <c r="V155" s="2262"/>
      <c r="W155" s="1786"/>
      <c r="X155" s="1786"/>
      <c r="Y155" s="1170"/>
      <c r="Z155" s="1786"/>
      <c r="AA155" s="1786"/>
      <c r="AB155" s="1786"/>
      <c r="AC155" s="1786"/>
      <c r="AD155" s="1786"/>
      <c r="AE155" s="2258"/>
      <c r="AF155" s="1192"/>
      <c r="AG155" s="1192"/>
      <c r="AH155" s="1192"/>
      <c r="AI155" s="1192"/>
      <c r="AJ155" s="2267">
        <v>11</v>
      </c>
    </row>
    <row s="35197" customFormat="1" customHeight="1" ht="11.549999999999999">
      <c r="A156" s="1613"/>
      <c r="B156" s="2262"/>
      <c r="C156" s="2262"/>
      <c r="D156" s="977"/>
      <c r="J156" s="4642"/>
      <c r="K156" s="4642"/>
      <c r="L156" s="4642"/>
      <c r="M156" s="4642"/>
      <c r="O156" s="1786"/>
      <c r="P156" s="2262"/>
      <c r="Q156" s="2262"/>
      <c r="R156" s="1786"/>
      <c r="S156" s="1786"/>
      <c r="T156" s="1786"/>
      <c r="U156" s="1786"/>
      <c r="V156" s="2262"/>
      <c r="W156" s="1786"/>
      <c r="X156" s="1786"/>
      <c r="Y156" s="1170"/>
      <c r="Z156" s="1786"/>
      <c r="AA156" s="1786"/>
      <c r="AB156" s="1786"/>
      <c r="AC156" s="1786"/>
      <c r="AD156" s="1786"/>
      <c r="AE156" s="2258"/>
      <c r="AF156" s="1192"/>
      <c r="AG156" s="1192"/>
      <c r="AH156" s="1192"/>
      <c r="AI156" s="1192"/>
      <c r="AJ156" s="2267">
        <v>11</v>
      </c>
    </row>
    <row s="35197" customFormat="1" customHeight="1" ht="11.549999999999999">
      <c r="A157" s="1613"/>
      <c r="B157" s="2262"/>
      <c r="C157" s="2262"/>
      <c r="D157" s="977"/>
      <c r="J157" s="4642"/>
      <c r="K157" s="4642"/>
      <c r="L157" s="4642"/>
      <c r="M157" s="4642"/>
      <c r="O157" s="1786"/>
      <c r="P157" s="2262"/>
      <c r="Q157" s="2262"/>
      <c r="R157" s="1786"/>
      <c r="S157" s="1786"/>
      <c r="T157" s="1786"/>
      <c r="U157" s="1786"/>
      <c r="V157" s="2262"/>
      <c r="W157" s="1786"/>
      <c r="X157" s="1786"/>
      <c r="Y157" s="1170"/>
      <c r="Z157" s="1786"/>
      <c r="AA157" s="1786"/>
      <c r="AB157" s="1786"/>
      <c r="AC157" s="1786"/>
      <c r="AD157" s="1786"/>
      <c r="AE157" s="2258"/>
      <c r="AF157" s="1192"/>
      <c r="AG157" s="1192"/>
      <c r="AH157" s="1192"/>
      <c r="AI157" s="1192"/>
      <c r="AJ157" s="2267">
        <v>11</v>
      </c>
    </row>
    <row s="35197" customFormat="1" customHeight="1" ht="11.549999999999999">
      <c r="A158" s="1613"/>
      <c r="B158" s="2262"/>
      <c r="C158" s="2262"/>
      <c r="D158" s="977"/>
      <c r="J158" s="4642"/>
      <c r="K158" s="4642"/>
      <c r="L158" s="4642"/>
      <c r="M158" s="4642"/>
      <c r="O158" s="1786"/>
      <c r="P158" s="2262"/>
      <c r="Q158" s="2262"/>
      <c r="R158" s="1786"/>
      <c r="S158" s="1786"/>
      <c r="T158" s="1786"/>
      <c r="U158" s="1786"/>
      <c r="V158" s="2262"/>
      <c r="W158" s="1786"/>
      <c r="X158" s="1786"/>
      <c r="Y158" s="1170"/>
      <c r="Z158" s="1786"/>
      <c r="AA158" s="1786"/>
      <c r="AB158" s="1786"/>
      <c r="AC158" s="1786"/>
      <c r="AD158" s="1786"/>
      <c r="AE158" s="2258"/>
      <c r="AF158" s="1192"/>
      <c r="AG158" s="1192"/>
      <c r="AH158" s="1192"/>
      <c r="AI158" s="1192"/>
      <c r="AJ158" s="2267">
        <v>11</v>
      </c>
    </row>
    <row s="35197" customFormat="1" customHeight="1" ht="11.549999999999999">
      <c r="A159" s="1613"/>
      <c r="B159" s="2262"/>
      <c r="C159" s="2262"/>
      <c r="D159" s="977"/>
      <c r="J159" s="4642"/>
      <c r="K159" s="4642"/>
      <c r="L159" s="4642"/>
      <c r="M159" s="4642"/>
      <c r="O159" s="1786"/>
      <c r="P159" s="2262"/>
      <c r="Q159" s="2262"/>
      <c r="R159" s="1786"/>
      <c r="S159" s="1786"/>
      <c r="T159" s="1786"/>
      <c r="U159" s="1786"/>
      <c r="V159" s="2262"/>
      <c r="W159" s="1786"/>
      <c r="X159" s="1786"/>
      <c r="Y159" s="1170"/>
      <c r="Z159" s="1786"/>
      <c r="AA159" s="1786"/>
      <c r="AB159" s="1786"/>
      <c r="AC159" s="1786"/>
      <c r="AD159" s="1786"/>
      <c r="AE159" s="2258"/>
      <c r="AF159" s="1192"/>
      <c r="AG159" s="1192"/>
      <c r="AH159" s="1192"/>
      <c r="AI159" s="1192"/>
      <c r="AJ159" s="2267">
        <v>11</v>
      </c>
    </row>
    <row s="35197" customFormat="1" customHeight="1" ht="11.549999999999999">
      <c r="A160" s="1613"/>
      <c r="B160" s="2262"/>
      <c r="C160" s="2262"/>
      <c r="D160" s="977"/>
      <c r="J160" s="4642"/>
      <c r="K160" s="4642"/>
      <c r="L160" s="4642"/>
      <c r="M160" s="4642"/>
      <c r="O160" s="1786"/>
      <c r="P160" s="2262"/>
      <c r="Q160" s="2262"/>
      <c r="R160" s="1786"/>
      <c r="S160" s="1786"/>
      <c r="T160" s="1786"/>
      <c r="U160" s="1786"/>
      <c r="V160" s="2262"/>
      <c r="W160" s="1786"/>
      <c r="X160" s="1786"/>
      <c r="Y160" s="1170"/>
      <c r="Z160" s="1786"/>
      <c r="AA160" s="1786"/>
      <c r="AB160" s="1786"/>
      <c r="AC160" s="1786"/>
      <c r="AD160" s="1786"/>
      <c r="AE160" s="2258"/>
      <c r="AF160" s="1192"/>
      <c r="AG160" s="1192"/>
      <c r="AH160" s="1192"/>
      <c r="AI160" s="1192"/>
      <c r="AJ160" s="2267">
        <v>11</v>
      </c>
    </row>
    <row s="35197" customFormat="1" customHeight="1" ht="11.549999999999999">
      <c r="A161" s="1613"/>
      <c r="B161" s="2262"/>
      <c r="C161" s="2262"/>
      <c r="D161" s="977"/>
      <c r="J161" s="4642"/>
      <c r="K161" s="4642"/>
      <c r="L161" s="4642"/>
      <c r="M161" s="4642"/>
      <c r="O161" s="1786"/>
      <c r="P161" s="2262"/>
      <c r="Q161" s="2262"/>
      <c r="R161" s="1786"/>
      <c r="S161" s="1786"/>
      <c r="T161" s="1786"/>
      <c r="U161" s="1786"/>
      <c r="V161" s="2262"/>
      <c r="W161" s="1786"/>
      <c r="X161" s="1786"/>
      <c r="Y161" s="1170"/>
      <c r="Z161" s="1786"/>
      <c r="AA161" s="1786"/>
      <c r="AB161" s="1786"/>
      <c r="AC161" s="1786"/>
      <c r="AD161" s="1786"/>
      <c r="AE161" s="2258"/>
      <c r="AF161" s="1192"/>
      <c r="AG161" s="1192"/>
      <c r="AH161" s="1192"/>
      <c r="AI161" s="1192"/>
      <c r="AJ161" s="2267">
        <v>11</v>
      </c>
    </row>
    <row s="35197" customFormat="1" customHeight="1" ht="11.549999999999999">
      <c r="A162" s="1613"/>
      <c r="B162" s="2262"/>
      <c r="C162" s="2262"/>
      <c r="D162" s="977"/>
      <c r="J162" s="4642"/>
      <c r="K162" s="4642"/>
      <c r="L162" s="4642"/>
      <c r="M162" s="4642"/>
      <c r="O162" s="1786"/>
      <c r="P162" s="2262"/>
      <c r="Q162" s="2262"/>
      <c r="R162" s="1786"/>
      <c r="S162" s="1786"/>
      <c r="T162" s="1786"/>
      <c r="U162" s="1786"/>
      <c r="V162" s="2262"/>
      <c r="W162" s="1786"/>
      <c r="X162" s="1786"/>
      <c r="Y162" s="1170"/>
      <c r="Z162" s="1786"/>
      <c r="AA162" s="1786"/>
      <c r="AB162" s="1786"/>
      <c r="AC162" s="1786"/>
      <c r="AD162" s="1786"/>
      <c r="AE162" s="2258"/>
      <c r="AF162" s="1192"/>
      <c r="AG162" s="1192"/>
      <c r="AH162" s="1192"/>
      <c r="AI162" s="1192"/>
      <c r="AJ162" s="2267">
        <v>11</v>
      </c>
    </row>
    <row s="35197" customFormat="1" customHeight="1" ht="11.549999999999999">
      <c r="A163" s="1613"/>
      <c r="B163" s="2262"/>
      <c r="C163" s="2262"/>
      <c r="D163" s="977"/>
      <c r="J163" s="4642"/>
      <c r="K163" s="4642"/>
      <c r="L163" s="4642"/>
      <c r="M163" s="4642"/>
      <c r="O163" s="1786"/>
      <c r="P163" s="2262"/>
      <c r="Q163" s="2262"/>
      <c r="R163" s="1786"/>
      <c r="S163" s="1786"/>
      <c r="T163" s="1786"/>
      <c r="U163" s="1786"/>
      <c r="V163" s="2262"/>
      <c r="W163" s="1786"/>
      <c r="X163" s="1786"/>
      <c r="Y163" s="1170"/>
      <c r="Z163" s="1786"/>
      <c r="AA163" s="1786"/>
      <c r="AB163" s="1786"/>
      <c r="AC163" s="1786"/>
      <c r="AD163" s="1786"/>
      <c r="AE163" s="2258"/>
      <c r="AF163" s="1192"/>
      <c r="AG163" s="1192"/>
      <c r="AH163" s="1192"/>
      <c r="AI163" s="1192"/>
      <c r="AJ163" s="2267">
        <v>11</v>
      </c>
    </row>
    <row s="35197" customFormat="1" customHeight="1" ht="11.549999999999999">
      <c r="A164" s="1613"/>
      <c r="B164" s="2262"/>
      <c r="C164" s="2262"/>
      <c r="D164" s="977"/>
      <c r="J164" s="4642"/>
      <c r="K164" s="4642"/>
      <c r="L164" s="4642"/>
      <c r="M164" s="4642"/>
      <c r="O164" s="1786"/>
      <c r="P164" s="2262"/>
      <c r="Q164" s="2262"/>
      <c r="R164" s="1786"/>
      <c r="S164" s="1786"/>
      <c r="T164" s="1786"/>
      <c r="U164" s="1786"/>
      <c r="V164" s="2262"/>
      <c r="W164" s="1786"/>
      <c r="X164" s="1786"/>
      <c r="Y164" s="1170"/>
      <c r="Z164" s="1786"/>
      <c r="AA164" s="1786"/>
      <c r="AB164" s="1786"/>
      <c r="AC164" s="1786"/>
      <c r="AD164" s="1786"/>
      <c r="AE164" s="2258"/>
      <c r="AF164" s="1192"/>
      <c r="AG164" s="1192"/>
      <c r="AH164" s="1192"/>
      <c r="AI164" s="1192"/>
      <c r="AJ164" s="2267">
        <v>11</v>
      </c>
    </row>
    <row s="35197" customFormat="1" customHeight="1" ht="11.549999999999999">
      <c r="A165" s="1613"/>
      <c r="B165" s="2262"/>
      <c r="C165" s="2262"/>
      <c r="D165" s="977"/>
      <c r="J165" s="4642"/>
      <c r="K165" s="4642"/>
      <c r="L165" s="4642"/>
      <c r="M165" s="4642"/>
      <c r="O165" s="1786"/>
      <c r="P165" s="2262"/>
      <c r="Q165" s="2262"/>
      <c r="R165" s="1786"/>
      <c r="S165" s="1786"/>
      <c r="T165" s="1786"/>
      <c r="U165" s="1786"/>
      <c r="V165" s="2262"/>
      <c r="W165" s="1786"/>
      <c r="X165" s="1786"/>
      <c r="Y165" s="1170"/>
      <c r="Z165" s="1786"/>
      <c r="AA165" s="1786"/>
      <c r="AB165" s="1786"/>
      <c r="AC165" s="1786"/>
      <c r="AD165" s="1786"/>
      <c r="AE165" s="2258"/>
      <c r="AF165" s="1192"/>
      <c r="AG165" s="1192"/>
      <c r="AH165" s="1192"/>
      <c r="AI165" s="1192"/>
      <c r="AJ165" s="2267">
        <v>11</v>
      </c>
    </row>
    <row s="35197" customFormat="1" customHeight="1" ht="11.549999999999999">
      <c r="A166" s="1613"/>
      <c r="B166" s="2262"/>
      <c r="C166" s="2262"/>
      <c r="D166" s="977"/>
      <c r="J166" s="4642"/>
      <c r="K166" s="4642"/>
      <c r="L166" s="4642"/>
      <c r="M166" s="4642"/>
      <c r="O166" s="1786"/>
      <c r="P166" s="2262"/>
      <c r="Q166" s="2262"/>
      <c r="R166" s="1786"/>
      <c r="S166" s="1786"/>
      <c r="T166" s="1786"/>
      <c r="U166" s="1786"/>
      <c r="V166" s="2262"/>
      <c r="W166" s="1786"/>
      <c r="X166" s="1786"/>
      <c r="Y166" s="1170"/>
      <c r="Z166" s="1786"/>
      <c r="AA166" s="1786"/>
      <c r="AB166" s="1786"/>
      <c r="AC166" s="1786"/>
      <c r="AD166" s="1786"/>
      <c r="AE166" s="2258"/>
      <c r="AF166" s="1192"/>
      <c r="AG166" s="1192"/>
      <c r="AH166" s="1192"/>
      <c r="AI166" s="1192"/>
      <c r="AJ166" s="2267">
        <v>11</v>
      </c>
    </row>
    <row s="35197" customFormat="1" customHeight="1" ht="11.549999999999999">
      <c r="A167" s="1613"/>
      <c r="B167" s="2262"/>
      <c r="C167" s="2262"/>
      <c r="D167" s="977"/>
      <c r="J167" s="4642"/>
      <c r="K167" s="4642"/>
      <c r="L167" s="4642"/>
      <c r="M167" s="4642"/>
      <c r="O167" s="1786"/>
      <c r="P167" s="2262"/>
      <c r="Q167" s="2262"/>
      <c r="R167" s="1786"/>
      <c r="S167" s="1786"/>
      <c r="T167" s="1786"/>
      <c r="U167" s="1786"/>
      <c r="V167" s="2262"/>
      <c r="W167" s="1786"/>
      <c r="X167" s="1786"/>
      <c r="Y167" s="1170"/>
      <c r="Z167" s="1786"/>
      <c r="AA167" s="1786"/>
      <c r="AB167" s="1786"/>
      <c r="AC167" s="1786"/>
      <c r="AD167" s="1786"/>
      <c r="AE167" s="2258"/>
      <c r="AF167" s="1192"/>
      <c r="AG167" s="1192"/>
      <c r="AH167" s="1192"/>
      <c r="AI167" s="1192"/>
      <c r="AJ167" s="2267">
        <v>11</v>
      </c>
    </row>
    <row s="35197" customFormat="1" customHeight="1" ht="11.549999999999999">
      <c r="A168" s="1613"/>
      <c r="B168" s="2262"/>
      <c r="C168" s="2262"/>
      <c r="D168" s="977"/>
      <c r="J168" s="4642"/>
      <c r="K168" s="4642"/>
      <c r="L168" s="4642"/>
      <c r="M168" s="4642"/>
      <c r="O168" s="1786"/>
      <c r="P168" s="2262"/>
      <c r="Q168" s="2262"/>
      <c r="R168" s="1786"/>
      <c r="S168" s="1786"/>
      <c r="T168" s="1786"/>
      <c r="U168" s="1786"/>
      <c r="V168" s="2262"/>
      <c r="W168" s="1786"/>
      <c r="X168" s="1786"/>
      <c r="Y168" s="1170"/>
      <c r="Z168" s="1786"/>
      <c r="AA168" s="1786"/>
      <c r="AB168" s="1786"/>
      <c r="AC168" s="1786"/>
      <c r="AD168" s="1786"/>
      <c r="AE168" s="2258"/>
      <c r="AF168" s="1192"/>
      <c r="AG168" s="1192"/>
      <c r="AH168" s="1192"/>
      <c r="AI168" s="1192"/>
      <c r="AJ168" s="2267">
        <v>11</v>
      </c>
    </row>
    <row s="35197" customFormat="1" customHeight="1" ht="11.549999999999999">
      <c r="A169" s="1613"/>
      <c r="B169" s="2262"/>
      <c r="C169" s="2262"/>
      <c r="D169" s="977"/>
      <c r="J169" s="4642"/>
      <c r="K169" s="4642"/>
      <c r="L169" s="4642"/>
      <c r="M169" s="4642"/>
      <c r="O169" s="1786"/>
      <c r="P169" s="2262"/>
      <c r="Q169" s="2262"/>
      <c r="R169" s="1786"/>
      <c r="S169" s="1786"/>
      <c r="T169" s="1786"/>
      <c r="U169" s="1786"/>
      <c r="V169" s="2262"/>
      <c r="W169" s="1786"/>
      <c r="X169" s="1786"/>
      <c r="Y169" s="1170"/>
      <c r="Z169" s="1786"/>
      <c r="AA169" s="1786"/>
      <c r="AB169" s="1786"/>
      <c r="AC169" s="1786"/>
      <c r="AD169" s="1786"/>
      <c r="AE169" s="2258"/>
      <c r="AF169" s="1192"/>
      <c r="AG169" s="1192"/>
      <c r="AH169" s="1192"/>
      <c r="AI169" s="1192"/>
      <c r="AJ169" s="2267">
        <v>11</v>
      </c>
    </row>
    <row s="35197" customFormat="1" customHeight="1" ht="11.549999999999999">
      <c r="A170" s="1613"/>
      <c r="B170" s="2262"/>
      <c r="C170" s="2262"/>
      <c r="D170" s="977"/>
      <c r="J170" s="4642"/>
      <c r="K170" s="4642"/>
      <c r="L170" s="4642"/>
      <c r="M170" s="4642"/>
      <c r="O170" s="1786"/>
      <c r="P170" s="2262"/>
      <c r="Q170" s="2262"/>
      <c r="R170" s="1786"/>
      <c r="S170" s="1786"/>
      <c r="T170" s="1786"/>
      <c r="U170" s="1786"/>
      <c r="V170" s="2262"/>
      <c r="W170" s="1786"/>
      <c r="X170" s="1786"/>
      <c r="Y170" s="1170"/>
      <c r="Z170" s="1786"/>
      <c r="AA170" s="1786"/>
      <c r="AB170" s="1786"/>
      <c r="AC170" s="1786"/>
      <c r="AD170" s="1786"/>
      <c r="AE170" s="2258"/>
      <c r="AF170" s="1192"/>
      <c r="AG170" s="1192"/>
      <c r="AH170" s="1192"/>
      <c r="AI170" s="1192"/>
      <c r="AJ170" s="2267">
        <v>11</v>
      </c>
    </row>
    <row s="35197" customFormat="1" customHeight="1" ht="11.549999999999999">
      <c r="A171" s="1613"/>
      <c r="B171" s="2262"/>
      <c r="C171" s="2262"/>
      <c r="D171" s="977"/>
      <c r="J171" s="4642"/>
      <c r="K171" s="4642"/>
      <c r="L171" s="4642"/>
      <c r="M171" s="4642"/>
      <c r="O171" s="1786"/>
      <c r="P171" s="2262"/>
      <c r="Q171" s="2262"/>
      <c r="R171" s="1786"/>
      <c r="S171" s="1786"/>
      <c r="T171" s="1786"/>
      <c r="U171" s="1786"/>
      <c r="V171" s="2262"/>
      <c r="W171" s="1786"/>
      <c r="X171" s="1786"/>
      <c r="Y171" s="1170"/>
      <c r="Z171" s="1786"/>
      <c r="AA171" s="1786"/>
      <c r="AB171" s="1786"/>
      <c r="AC171" s="1786"/>
      <c r="AD171" s="1786"/>
      <c r="AE171" s="2258"/>
      <c r="AF171" s="1192"/>
      <c r="AG171" s="1192"/>
      <c r="AH171" s="1192"/>
      <c r="AI171" s="1192"/>
      <c r="AJ171" s="2267">
        <v>11</v>
      </c>
    </row>
    <row s="35197" customFormat="1" customHeight="1" ht="11.549999999999999">
      <c r="A172" s="1613"/>
      <c r="B172" s="2262"/>
      <c r="C172" s="2262"/>
      <c r="D172" s="977"/>
      <c r="J172" s="4642"/>
      <c r="K172" s="4642"/>
      <c r="L172" s="4642"/>
      <c r="M172" s="4642"/>
      <c r="O172" s="1786"/>
      <c r="P172" s="2262"/>
      <c r="Q172" s="2262"/>
      <c r="R172" s="1786"/>
      <c r="S172" s="1786"/>
      <c r="T172" s="1786"/>
      <c r="U172" s="1786"/>
      <c r="V172" s="2262"/>
      <c r="W172" s="1786"/>
      <c r="X172" s="1786"/>
      <c r="Y172" s="1170"/>
      <c r="Z172" s="1786"/>
      <c r="AA172" s="1786"/>
      <c r="AB172" s="1786"/>
      <c r="AC172" s="1786"/>
      <c r="AD172" s="1786"/>
      <c r="AE172" s="2258"/>
      <c r="AF172" s="1192"/>
      <c r="AG172" s="1192"/>
      <c r="AH172" s="1192"/>
      <c r="AI172" s="1192"/>
      <c r="AJ172" s="2267">
        <v>11</v>
      </c>
    </row>
    <row s="35197" customFormat="1" customHeight="1" ht="11.549999999999999">
      <c r="A173" s="1613"/>
      <c r="B173" s="2262"/>
      <c r="C173" s="2262"/>
      <c r="D173" s="977"/>
      <c r="J173" s="4642"/>
      <c r="K173" s="4642"/>
      <c r="L173" s="4642"/>
      <c r="M173" s="4642"/>
      <c r="O173" s="1786"/>
      <c r="P173" s="2262"/>
      <c r="Q173" s="2262"/>
      <c r="R173" s="1786"/>
      <c r="S173" s="1786"/>
      <c r="T173" s="1786"/>
      <c r="U173" s="1786"/>
      <c r="V173" s="2262"/>
      <c r="W173" s="1786"/>
      <c r="X173" s="1786"/>
      <c r="Y173" s="1170"/>
      <c r="Z173" s="1786"/>
      <c r="AA173" s="1786"/>
      <c r="AB173" s="1786"/>
      <c r="AC173" s="1786"/>
      <c r="AD173" s="1786"/>
      <c r="AE173" s="2258"/>
      <c r="AF173" s="1192"/>
      <c r="AG173" s="1192"/>
      <c r="AH173" s="1192"/>
      <c r="AI173" s="1192"/>
      <c r="AJ173" s="2267">
        <v>11</v>
      </c>
    </row>
    <row s="35197" customFormat="1" customHeight="1" ht="11.549999999999999">
      <c r="A174" s="1613"/>
      <c r="B174" s="2262"/>
      <c r="C174" s="2262"/>
      <c r="D174" s="977"/>
      <c r="J174" s="4642"/>
      <c r="K174" s="4642"/>
      <c r="L174" s="4642"/>
      <c r="M174" s="4642"/>
      <c r="O174" s="1786"/>
      <c r="P174" s="2262"/>
      <c r="Q174" s="2262"/>
      <c r="R174" s="1786"/>
      <c r="S174" s="1786"/>
      <c r="T174" s="1786"/>
      <c r="U174" s="1786"/>
      <c r="V174" s="2262"/>
      <c r="W174" s="1786"/>
      <c r="X174" s="1786"/>
      <c r="Y174" s="1170"/>
      <c r="Z174" s="1786"/>
      <c r="AA174" s="1786"/>
      <c r="AB174" s="1786"/>
      <c r="AC174" s="1786"/>
      <c r="AD174" s="1786"/>
      <c r="AE174" s="2258"/>
      <c r="AF174" s="1192"/>
      <c r="AG174" s="1192"/>
      <c r="AH174" s="1192"/>
      <c r="AI174" s="1192"/>
      <c r="AJ174" s="2267">
        <v>11</v>
      </c>
    </row>
    <row s="35197" customFormat="1" customHeight="1" ht="11.549999999999999">
      <c r="A175" s="1613"/>
      <c r="B175" s="2262"/>
      <c r="C175" s="2262"/>
      <c r="D175" s="977"/>
      <c r="J175" s="4642"/>
      <c r="K175" s="4642"/>
      <c r="L175" s="4642"/>
      <c r="M175" s="4642"/>
      <c r="O175" s="1786"/>
      <c r="P175" s="2262"/>
      <c r="Q175" s="2262"/>
      <c r="R175" s="1786"/>
      <c r="S175" s="1786"/>
      <c r="T175" s="1786"/>
      <c r="U175" s="1786"/>
      <c r="V175" s="2262"/>
      <c r="W175" s="1786"/>
      <c r="X175" s="1786"/>
      <c r="Y175" s="1170"/>
      <c r="Z175" s="1786"/>
      <c r="AA175" s="1786"/>
      <c r="AB175" s="1786"/>
      <c r="AC175" s="1786"/>
      <c r="AD175" s="1786"/>
      <c r="AE175" s="2258"/>
      <c r="AF175" s="1192"/>
      <c r="AG175" s="1192"/>
      <c r="AH175" s="1192"/>
      <c r="AI175" s="1192"/>
      <c r="AJ175" s="2267">
        <v>11</v>
      </c>
    </row>
    <row s="35197" customFormat="1" customHeight="1" ht="11.549999999999999">
      <c r="A176" s="1613"/>
      <c r="B176" s="2262"/>
      <c r="C176" s="2262"/>
      <c r="D176" s="977"/>
      <c r="J176" s="4642"/>
      <c r="K176" s="4642"/>
      <c r="L176" s="4642"/>
      <c r="M176" s="4642"/>
      <c r="O176" s="1786"/>
      <c r="P176" s="2262"/>
      <c r="Q176" s="2262"/>
      <c r="R176" s="1786"/>
      <c r="S176" s="1786"/>
      <c r="T176" s="1786"/>
      <c r="U176" s="1786"/>
      <c r="V176" s="2262"/>
      <c r="W176" s="1786"/>
      <c r="X176" s="1786"/>
      <c r="Y176" s="1170"/>
      <c r="Z176" s="1786"/>
      <c r="AA176" s="1786"/>
      <c r="AB176" s="1786"/>
      <c r="AC176" s="1786"/>
      <c r="AD176" s="1786"/>
      <c r="AE176" s="2258"/>
      <c r="AF176" s="1192"/>
      <c r="AG176" s="1192"/>
      <c r="AH176" s="1192"/>
      <c r="AI176" s="1192"/>
      <c r="AJ176" s="2267">
        <v>11</v>
      </c>
    </row>
    <row s="35197" customFormat="1" customHeight="1" ht="11.549999999999999">
      <c r="A177" s="1613"/>
      <c r="B177" s="2262"/>
      <c r="C177" s="2262"/>
      <c r="D177" s="977"/>
      <c r="J177" s="4642"/>
      <c r="K177" s="4642"/>
      <c r="L177" s="4642"/>
      <c r="M177" s="4642"/>
      <c r="O177" s="1786"/>
      <c r="P177" s="2262"/>
      <c r="Q177" s="2262"/>
      <c r="R177" s="1786"/>
      <c r="S177" s="1786"/>
      <c r="T177" s="1786"/>
      <c r="U177" s="1786"/>
      <c r="V177" s="2262"/>
      <c r="W177" s="1786"/>
      <c r="X177" s="1786"/>
      <c r="Y177" s="1170"/>
      <c r="Z177" s="1786"/>
      <c r="AA177" s="1786"/>
      <c r="AB177" s="1786"/>
      <c r="AC177" s="1786"/>
      <c r="AD177" s="1786"/>
      <c r="AE177" s="2258"/>
      <c r="AF177" s="1192"/>
      <c r="AG177" s="1192"/>
      <c r="AH177" s="1192"/>
      <c r="AI177" s="1192"/>
      <c r="AJ177" s="2267">
        <v>11</v>
      </c>
    </row>
    <row s="35197" customFormat="1" customHeight="1" ht="11.549999999999999">
      <c r="A178" s="1613"/>
      <c r="B178" s="2262"/>
      <c r="C178" s="2262"/>
      <c r="D178" s="977"/>
      <c r="J178" s="4642"/>
      <c r="K178" s="4642"/>
      <c r="L178" s="4642"/>
      <c r="M178" s="4642"/>
      <c r="O178" s="1786"/>
      <c r="P178" s="2262"/>
      <c r="Q178" s="2262"/>
      <c r="R178" s="1786"/>
      <c r="S178" s="1786"/>
      <c r="T178" s="1786"/>
      <c r="U178" s="1786"/>
      <c r="V178" s="2262"/>
      <c r="W178" s="1786"/>
      <c r="X178" s="1786"/>
      <c r="Y178" s="1170"/>
      <c r="Z178" s="1786"/>
      <c r="AA178" s="1786"/>
      <c r="AB178" s="1786"/>
      <c r="AC178" s="1786"/>
      <c r="AD178" s="1786"/>
      <c r="AE178" s="2258"/>
      <c r="AF178" s="1192"/>
      <c r="AG178" s="1192"/>
      <c r="AH178" s="1192"/>
      <c r="AI178" s="1192"/>
      <c r="AJ178" s="2267">
        <v>11</v>
      </c>
    </row>
    <row s="35197" customFormat="1" customHeight="1" ht="11.549999999999999">
      <c r="A179" s="1613"/>
      <c r="B179" s="2262"/>
      <c r="C179" s="2262"/>
      <c r="D179" s="977"/>
      <c r="J179" s="4642"/>
      <c r="K179" s="4642"/>
      <c r="L179" s="4642"/>
      <c r="M179" s="4642"/>
      <c r="O179" s="1786"/>
      <c r="P179" s="2262"/>
      <c r="Q179" s="2262"/>
      <c r="R179" s="1786"/>
      <c r="S179" s="1786"/>
      <c r="T179" s="1786"/>
      <c r="U179" s="1786"/>
      <c r="V179" s="2262"/>
      <c r="W179" s="1786"/>
      <c r="X179" s="1786"/>
      <c r="Y179" s="1170"/>
      <c r="Z179" s="1786"/>
      <c r="AA179" s="1786"/>
      <c r="AB179" s="1786"/>
      <c r="AC179" s="1786"/>
      <c r="AD179" s="1786"/>
      <c r="AE179" s="2258"/>
      <c r="AF179" s="1192"/>
      <c r="AG179" s="1192"/>
      <c r="AH179" s="1192"/>
      <c r="AI179" s="1192"/>
      <c r="AJ179" s="2267">
        <v>11</v>
      </c>
    </row>
    <row s="35197" customFormat="1" customHeight="1" ht="11.549999999999999">
      <c r="A180" s="1613"/>
      <c r="B180" s="2262"/>
      <c r="C180" s="2262"/>
      <c r="D180" s="977"/>
      <c r="J180" s="4642"/>
      <c r="K180" s="4642"/>
      <c r="L180" s="4642"/>
      <c r="M180" s="4642"/>
      <c r="O180" s="1786"/>
      <c r="P180" s="2262"/>
      <c r="Q180" s="2262"/>
      <c r="R180" s="1786"/>
      <c r="S180" s="1786"/>
      <c r="T180" s="1786"/>
      <c r="U180" s="1786"/>
      <c r="V180" s="2262"/>
      <c r="W180" s="1786"/>
      <c r="X180" s="1786"/>
      <c r="Y180" s="1170"/>
      <c r="Z180" s="1786"/>
      <c r="AA180" s="1786"/>
      <c r="AB180" s="1786"/>
      <c r="AC180" s="1786"/>
      <c r="AD180" s="1786"/>
      <c r="AE180" s="2258"/>
      <c r="AF180" s="1192"/>
      <c r="AG180" s="1192"/>
      <c r="AH180" s="1192"/>
      <c r="AI180" s="1192"/>
      <c r="AJ180" s="2267">
        <v>11</v>
      </c>
    </row>
    <row s="35197" customFormat="1" customHeight="1" ht="11.549999999999999">
      <c r="A181" s="1613"/>
      <c r="B181" s="2262"/>
      <c r="C181" s="2262"/>
      <c r="D181" s="977"/>
      <c r="J181" s="4642"/>
      <c r="K181" s="4642"/>
      <c r="L181" s="4642"/>
      <c r="M181" s="4642"/>
      <c r="O181" s="1786"/>
      <c r="P181" s="2262"/>
      <c r="Q181" s="2262"/>
      <c r="R181" s="1786"/>
      <c r="S181" s="1786"/>
      <c r="T181" s="1786"/>
      <c r="U181" s="1786"/>
      <c r="V181" s="2262"/>
      <c r="W181" s="1786"/>
      <c r="X181" s="1786"/>
      <c r="Y181" s="1170"/>
      <c r="Z181" s="1786"/>
      <c r="AA181" s="1786"/>
      <c r="AB181" s="1786"/>
      <c r="AC181" s="1786"/>
      <c r="AD181" s="1786"/>
      <c r="AE181" s="2258"/>
      <c r="AF181" s="1192"/>
      <c r="AG181" s="1192"/>
      <c r="AH181" s="1192"/>
      <c r="AI181" s="1192"/>
      <c r="AJ181" s="2267">
        <v>11</v>
      </c>
    </row>
    <row s="35197" customFormat="1" customHeight="1" ht="11.549999999999999">
      <c r="A182" s="1613"/>
      <c r="B182" s="2262"/>
      <c r="C182" s="2262"/>
      <c r="D182" s="977"/>
      <c r="J182" s="4642"/>
      <c r="K182" s="4642"/>
      <c r="L182" s="4642"/>
      <c r="M182" s="4642"/>
      <c r="O182" s="1786"/>
      <c r="P182" s="2262"/>
      <c r="Q182" s="2262"/>
      <c r="R182" s="1786"/>
      <c r="S182" s="1786"/>
      <c r="T182" s="1786"/>
      <c r="U182" s="1786"/>
      <c r="V182" s="2262"/>
      <c r="W182" s="1786"/>
      <c r="X182" s="1786"/>
      <c r="Y182" s="1170"/>
      <c r="Z182" s="1786"/>
      <c r="AA182" s="1786"/>
      <c r="AB182" s="1786"/>
      <c r="AC182" s="1786"/>
      <c r="AD182" s="1786"/>
      <c r="AE182" s="2258"/>
      <c r="AF182" s="1192"/>
      <c r="AG182" s="1192"/>
      <c r="AH182" s="1192"/>
      <c r="AI182" s="1192"/>
      <c r="AJ182" s="2267">
        <v>11</v>
      </c>
    </row>
    <row s="35197" customFormat="1" customHeight="1" ht="11.549999999999999">
      <c r="A183" s="1613"/>
      <c r="B183" s="2262"/>
      <c r="C183" s="2262"/>
      <c r="D183" s="977"/>
      <c r="J183" s="4642"/>
      <c r="K183" s="4642"/>
      <c r="L183" s="4642"/>
      <c r="M183" s="4642"/>
      <c r="O183" s="1786"/>
      <c r="P183" s="2262"/>
      <c r="Q183" s="2262"/>
      <c r="R183" s="1786"/>
      <c r="S183" s="1786"/>
      <c r="T183" s="1786"/>
      <c r="U183" s="1786"/>
      <c r="V183" s="2262"/>
      <c r="W183" s="1786"/>
      <c r="X183" s="1786"/>
      <c r="Y183" s="1170"/>
      <c r="Z183" s="1786"/>
      <c r="AA183" s="1786"/>
      <c r="AB183" s="1786"/>
      <c r="AC183" s="1786"/>
      <c r="AD183" s="1786"/>
      <c r="AE183" s="2258"/>
      <c r="AF183" s="1192"/>
      <c r="AG183" s="1192"/>
      <c r="AH183" s="1192"/>
      <c r="AI183" s="1192"/>
      <c r="AJ183" s="2267">
        <v>11</v>
      </c>
    </row>
    <row s="35197" customFormat="1" customHeight="1" ht="11.549999999999999">
      <c r="A184" s="1613"/>
      <c r="B184" s="2262"/>
      <c r="C184" s="2262"/>
      <c r="D184" s="977"/>
      <c r="J184" s="4642"/>
      <c r="K184" s="4642"/>
      <c r="L184" s="4642"/>
      <c r="M184" s="4642"/>
      <c r="O184" s="1786"/>
      <c r="P184" s="2262"/>
      <c r="Q184" s="2262"/>
      <c r="R184" s="1786"/>
      <c r="S184" s="1786"/>
      <c r="T184" s="1786"/>
      <c r="U184" s="1786"/>
      <c r="V184" s="2262"/>
      <c r="W184" s="1786"/>
      <c r="X184" s="1786"/>
      <c r="Y184" s="1170"/>
      <c r="Z184" s="1786"/>
      <c r="AA184" s="1786"/>
      <c r="AB184" s="1786"/>
      <c r="AC184" s="1786"/>
      <c r="AD184" s="1786"/>
      <c r="AE184" s="2258"/>
      <c r="AF184" s="1192"/>
      <c r="AG184" s="1192"/>
      <c r="AH184" s="1192"/>
      <c r="AI184" s="1192"/>
      <c r="AJ184" s="2267">
        <v>11</v>
      </c>
    </row>
    <row s="35197" customFormat="1" customHeight="1" ht="11.549999999999999">
      <c r="A185" s="1613"/>
      <c r="B185" s="2262"/>
      <c r="C185" s="2262"/>
      <c r="D185" s="977"/>
      <c r="J185" s="4642"/>
      <c r="K185" s="4642"/>
      <c r="L185" s="4642"/>
      <c r="M185" s="4642"/>
      <c r="O185" s="1786"/>
      <c r="P185" s="2262"/>
      <c r="Q185" s="2262"/>
      <c r="R185" s="1786"/>
      <c r="S185" s="1786"/>
      <c r="T185" s="1786"/>
      <c r="U185" s="1786"/>
      <c r="V185" s="2262"/>
      <c r="W185" s="1786"/>
      <c r="X185" s="1786"/>
      <c r="Y185" s="1170"/>
      <c r="Z185" s="1786"/>
      <c r="AA185" s="1786"/>
      <c r="AB185" s="1786"/>
      <c r="AC185" s="1786"/>
      <c r="AD185" s="1786"/>
      <c r="AE185" s="2258"/>
      <c r="AF185" s="1192"/>
      <c r="AG185" s="1192"/>
      <c r="AH185" s="1192"/>
      <c r="AI185" s="1192"/>
      <c r="AJ185" s="2267">
        <v>11</v>
      </c>
    </row>
    <row s="35197" customFormat="1" customHeight="1" ht="11.549999999999999">
      <c r="A186" s="1613"/>
      <c r="B186" s="2262"/>
      <c r="C186" s="2262"/>
      <c r="D186" s="977"/>
      <c r="J186" s="4642"/>
      <c r="K186" s="4642"/>
      <c r="L186" s="4642"/>
      <c r="M186" s="4642"/>
      <c r="O186" s="1786"/>
      <c r="P186" s="2262"/>
      <c r="Q186" s="2262"/>
      <c r="R186" s="1786"/>
      <c r="S186" s="1786"/>
      <c r="T186" s="1786"/>
      <c r="U186" s="1786"/>
      <c r="V186" s="2262"/>
      <c r="W186" s="1786"/>
      <c r="X186" s="1786"/>
      <c r="Y186" s="1170"/>
      <c r="Z186" s="1786"/>
      <c r="AA186" s="1786"/>
      <c r="AB186" s="1786"/>
      <c r="AC186" s="1786"/>
      <c r="AD186" s="1786"/>
      <c r="AE186" s="2258"/>
      <c r="AF186" s="1192"/>
      <c r="AG186" s="1192"/>
      <c r="AH186" s="1192"/>
      <c r="AI186" s="1192"/>
      <c r="AJ186" s="2267">
        <v>11</v>
      </c>
    </row>
    <row s="35197" customFormat="1" customHeight="1" ht="11.549999999999999">
      <c r="A187" s="1613"/>
      <c r="B187" s="2262"/>
      <c r="C187" s="2262"/>
      <c r="D187" s="977"/>
      <c r="J187" s="4642"/>
      <c r="K187" s="4642"/>
      <c r="L187" s="4642"/>
      <c r="M187" s="4642"/>
      <c r="O187" s="1786"/>
      <c r="P187" s="2262"/>
      <c r="Q187" s="2262"/>
      <c r="R187" s="1786"/>
      <c r="S187" s="1786"/>
      <c r="T187" s="1786"/>
      <c r="U187" s="1786"/>
      <c r="V187" s="2262"/>
      <c r="W187" s="1786"/>
      <c r="X187" s="1786"/>
      <c r="Y187" s="1170"/>
      <c r="Z187" s="1786"/>
      <c r="AA187" s="1786"/>
      <c r="AB187" s="1786"/>
      <c r="AC187" s="1786"/>
      <c r="AD187" s="1786"/>
      <c r="AE187" s="2258"/>
      <c r="AF187" s="1192"/>
      <c r="AG187" s="1192"/>
      <c r="AH187" s="1192"/>
      <c r="AI187" s="1192"/>
      <c r="AJ187" s="2267">
        <v>11</v>
      </c>
    </row>
    <row s="35197" customFormat="1" customHeight="1" ht="11.549999999999999">
      <c r="A188" s="1613"/>
      <c r="B188" s="2262"/>
      <c r="C188" s="2262"/>
      <c r="D188" s="977"/>
      <c r="J188" s="4642"/>
      <c r="K188" s="4642"/>
      <c r="L188" s="4642"/>
      <c r="M188" s="4642"/>
      <c r="O188" s="1786"/>
      <c r="P188" s="2262"/>
      <c r="Q188" s="2262"/>
      <c r="R188" s="1786"/>
      <c r="S188" s="1786"/>
      <c r="T188" s="1786"/>
      <c r="U188" s="1786"/>
      <c r="V188" s="2262"/>
      <c r="W188" s="1786"/>
      <c r="X188" s="1786"/>
      <c r="Y188" s="1170"/>
      <c r="Z188" s="1786"/>
      <c r="AA188" s="1786"/>
      <c r="AB188" s="1786"/>
      <c r="AC188" s="1786"/>
      <c r="AD188" s="1786"/>
      <c r="AE188" s="2258"/>
      <c r="AF188" s="1192"/>
      <c r="AG188" s="1192"/>
      <c r="AH188" s="1192"/>
      <c r="AI188" s="1192"/>
      <c r="AJ188" s="2267">
        <v>11</v>
      </c>
    </row>
    <row s="35197" customFormat="1" customHeight="1" ht="11.549999999999999">
      <c r="A189" s="1613"/>
      <c r="B189" s="2262"/>
      <c r="C189" s="2262"/>
      <c r="D189" s="977"/>
      <c r="J189" s="4642"/>
      <c r="K189" s="4642"/>
      <c r="L189" s="4642"/>
      <c r="M189" s="4642"/>
      <c r="O189" s="1786"/>
      <c r="P189" s="2262"/>
      <c r="Q189" s="2262"/>
      <c r="R189" s="1786"/>
      <c r="S189" s="1786"/>
      <c r="T189" s="1786"/>
      <c r="U189" s="1786"/>
      <c r="V189" s="2262"/>
      <c r="W189" s="1786"/>
      <c r="X189" s="1786"/>
      <c r="Y189" s="1170"/>
      <c r="Z189" s="1786"/>
      <c r="AA189" s="1786"/>
      <c r="AB189" s="1786"/>
      <c r="AC189" s="1786"/>
      <c r="AD189" s="1786"/>
      <c r="AE189" s="2258"/>
      <c r="AF189" s="1192"/>
      <c r="AG189" s="1192"/>
      <c r="AH189" s="1192"/>
      <c r="AI189" s="1192"/>
      <c r="AJ189" s="2267">
        <v>11</v>
      </c>
    </row>
    <row s="35197" customFormat="1" customHeight="1" ht="11.549999999999999">
      <c r="A190" s="1613"/>
      <c r="B190" s="2262"/>
      <c r="C190" s="2262"/>
      <c r="D190" s="977"/>
      <c r="J190" s="4642"/>
      <c r="K190" s="4642"/>
      <c r="L190" s="4642"/>
      <c r="M190" s="4642"/>
      <c r="O190" s="1786"/>
      <c r="P190" s="2262"/>
      <c r="Q190" s="2262"/>
      <c r="R190" s="1786"/>
      <c r="S190" s="1786"/>
      <c r="T190" s="1786"/>
      <c r="U190" s="1786"/>
      <c r="V190" s="2262"/>
      <c r="W190" s="1786"/>
      <c r="X190" s="1786"/>
      <c r="Y190" s="1170"/>
      <c r="Z190" s="1786"/>
      <c r="AA190" s="1786"/>
      <c r="AB190" s="1786"/>
      <c r="AC190" s="1786"/>
      <c r="AD190" s="1786"/>
      <c r="AE190" s="2258"/>
      <c r="AF190" s="1192"/>
      <c r="AG190" s="1192"/>
      <c r="AH190" s="1192"/>
      <c r="AI190" s="1192"/>
      <c r="AJ190" s="2267">
        <v>11</v>
      </c>
    </row>
    <row s="35197" customFormat="1" customHeight="1" ht="11.549999999999999">
      <c r="A191" s="1613"/>
      <c r="B191" s="2262"/>
      <c r="C191" s="2262"/>
      <c r="D191" s="977"/>
      <c r="J191" s="4642"/>
      <c r="K191" s="4642"/>
      <c r="L191" s="4642"/>
      <c r="M191" s="4642"/>
      <c r="O191" s="1786"/>
      <c r="P191" s="2262"/>
      <c r="Q191" s="2262"/>
      <c r="R191" s="1786"/>
      <c r="S191" s="1786"/>
      <c r="T191" s="1786"/>
      <c r="U191" s="1786"/>
      <c r="V191" s="2262"/>
      <c r="W191" s="1786"/>
      <c r="X191" s="1786"/>
      <c r="Y191" s="1170"/>
      <c r="Z191" s="1786"/>
      <c r="AA191" s="1786"/>
      <c r="AB191" s="1786"/>
      <c r="AC191" s="1786"/>
      <c r="AD191" s="1786"/>
      <c r="AE191" s="2258"/>
      <c r="AF191" s="1192"/>
      <c r="AG191" s="1192"/>
      <c r="AH191" s="1192"/>
      <c r="AI191" s="1192"/>
      <c r="AJ191" s="2267">
        <v>11</v>
      </c>
    </row>
    <row s="35197" customFormat="1" customHeight="1" ht="11.549999999999999">
      <c r="A192" s="1613"/>
      <c r="B192" s="2262"/>
      <c r="C192" s="2262"/>
      <c r="D192" s="977"/>
      <c r="J192" s="4642"/>
      <c r="K192" s="4642"/>
      <c r="L192" s="4642"/>
      <c r="M192" s="4642"/>
      <c r="O192" s="1786"/>
      <c r="P192" s="2262"/>
      <c r="Q192" s="2262"/>
      <c r="R192" s="1786"/>
      <c r="S192" s="1786"/>
      <c r="T192" s="1786"/>
      <c r="U192" s="1786"/>
      <c r="V192" s="2262"/>
      <c r="W192" s="1786"/>
      <c r="X192" s="1786"/>
      <c r="Y192" s="1170"/>
      <c r="Z192" s="1786"/>
      <c r="AA192" s="1786"/>
      <c r="AB192" s="1786"/>
      <c r="AC192" s="1786"/>
      <c r="AD192" s="1786"/>
      <c r="AE192" s="2258"/>
      <c r="AF192" s="1192"/>
      <c r="AG192" s="1192"/>
      <c r="AH192" s="1192"/>
      <c r="AI192" s="1192"/>
      <c r="AJ192" s="2267">
        <v>11</v>
      </c>
    </row>
    <row s="35197" customFormat="1" customHeight="1" ht="11.549999999999999">
      <c r="A193" s="1613"/>
      <c r="B193" s="2262"/>
      <c r="C193" s="2262"/>
      <c r="D193" s="977"/>
      <c r="J193" s="4642"/>
      <c r="K193" s="4642"/>
      <c r="L193" s="4642"/>
      <c r="M193" s="4642"/>
      <c r="O193" s="1786"/>
      <c r="P193" s="2262"/>
      <c r="Q193" s="2262"/>
      <c r="R193" s="1786"/>
      <c r="S193" s="1786"/>
      <c r="T193" s="1786"/>
      <c r="U193" s="1786"/>
      <c r="V193" s="2262"/>
      <c r="W193" s="1786"/>
      <c r="X193" s="1786"/>
      <c r="Y193" s="1170"/>
      <c r="Z193" s="1786"/>
      <c r="AA193" s="1786"/>
      <c r="AB193" s="1786"/>
      <c r="AC193" s="1786"/>
      <c r="AD193" s="1786"/>
      <c r="AE193" s="2258"/>
      <c r="AF193" s="1192"/>
      <c r="AG193" s="1192"/>
      <c r="AH193" s="1192"/>
      <c r="AI193" s="1192"/>
      <c r="AJ193" s="2267">
        <v>11</v>
      </c>
    </row>
    <row s="35197" customFormat="1" customHeight="1" ht="11.549999999999999">
      <c r="A194" s="1613"/>
      <c r="B194" s="2262"/>
      <c r="C194" s="2262"/>
      <c r="D194" s="977"/>
      <c r="J194" s="4642"/>
      <c r="K194" s="4642"/>
      <c r="L194" s="4642"/>
      <c r="M194" s="4642"/>
      <c r="O194" s="1786"/>
      <c r="P194" s="2262"/>
      <c r="Q194" s="2262"/>
      <c r="R194" s="1786"/>
      <c r="S194" s="1786"/>
      <c r="T194" s="1786"/>
      <c r="U194" s="1786"/>
      <c r="V194" s="2262"/>
      <c r="W194" s="1786"/>
      <c r="X194" s="1786"/>
      <c r="Y194" s="1170"/>
      <c r="Z194" s="1786"/>
      <c r="AA194" s="1786"/>
      <c r="AB194" s="1786"/>
      <c r="AC194" s="1786"/>
      <c r="AD194" s="1786"/>
      <c r="AE194" s="2258"/>
      <c r="AF194" s="1192"/>
      <c r="AG194" s="1192"/>
      <c r="AH194" s="1192"/>
      <c r="AI194" s="1192"/>
      <c r="AJ194" s="2267">
        <v>11</v>
      </c>
    </row>
    <row s="35197" customFormat="1" customHeight="1" ht="11.549999999999999">
      <c r="A195" s="1613"/>
      <c r="B195" s="2262"/>
      <c r="C195" s="2262"/>
      <c r="D195" s="977"/>
      <c r="J195" s="4642"/>
      <c r="K195" s="4642"/>
      <c r="L195" s="4642"/>
      <c r="M195" s="4642"/>
      <c r="O195" s="1786"/>
      <c r="P195" s="2262"/>
      <c r="Q195" s="2262"/>
      <c r="R195" s="1786"/>
      <c r="S195" s="1786"/>
      <c r="T195" s="1786"/>
      <c r="U195" s="1786"/>
      <c r="V195" s="2262"/>
      <c r="W195" s="1786"/>
      <c r="X195" s="1786"/>
      <c r="Y195" s="1170"/>
      <c r="Z195" s="1786"/>
      <c r="AA195" s="1786"/>
      <c r="AB195" s="1786"/>
      <c r="AC195" s="1786"/>
      <c r="AD195" s="1786"/>
      <c r="AE195" s="2258"/>
      <c r="AF195" s="1192"/>
      <c r="AG195" s="1192"/>
      <c r="AH195" s="1192"/>
      <c r="AI195" s="1192"/>
      <c r="AJ195" s="2267">
        <v>11</v>
      </c>
    </row>
    <row s="35197" customFormat="1" customHeight="1" ht="11.549999999999999">
      <c r="A196" s="1613"/>
      <c r="B196" s="2262"/>
      <c r="C196" s="2262"/>
      <c r="D196" s="977"/>
      <c r="J196" s="4642"/>
      <c r="K196" s="4642"/>
      <c r="L196" s="4642"/>
      <c r="M196" s="4642"/>
      <c r="O196" s="1786"/>
      <c r="P196" s="2262"/>
      <c r="Q196" s="2262"/>
      <c r="R196" s="1786"/>
      <c r="S196" s="1786"/>
      <c r="T196" s="1786"/>
      <c r="U196" s="1786"/>
      <c r="V196" s="2262"/>
      <c r="W196" s="1786"/>
      <c r="X196" s="1786"/>
      <c r="Y196" s="1170"/>
      <c r="Z196" s="1786"/>
      <c r="AA196" s="1786"/>
      <c r="AB196" s="1786"/>
      <c r="AC196" s="1786"/>
      <c r="AD196" s="1786"/>
      <c r="AE196" s="2258"/>
      <c r="AF196" s="1192"/>
      <c r="AG196" s="1192"/>
      <c r="AH196" s="1192"/>
      <c r="AI196" s="1192"/>
      <c r="AJ196" s="2267">
        <v>11</v>
      </c>
    </row>
    <row s="35197" customFormat="1" customHeight="1" ht="11.549999999999999">
      <c r="A197" s="1613"/>
      <c r="B197" s="2262"/>
      <c r="C197" s="2262"/>
      <c r="D197" s="977"/>
      <c r="J197" s="4642"/>
      <c r="K197" s="4642"/>
      <c r="L197" s="4642"/>
      <c r="M197" s="4642"/>
      <c r="O197" s="1786"/>
      <c r="P197" s="2262"/>
      <c r="Q197" s="2262"/>
      <c r="R197" s="1786"/>
      <c r="S197" s="1786"/>
      <c r="T197" s="1786"/>
      <c r="U197" s="1786"/>
      <c r="V197" s="2262"/>
      <c r="W197" s="1786"/>
      <c r="X197" s="1786"/>
      <c r="Y197" s="1170"/>
      <c r="Z197" s="1786"/>
      <c r="AA197" s="1786"/>
      <c r="AB197" s="1786"/>
      <c r="AC197" s="1786"/>
      <c r="AD197" s="1786"/>
      <c r="AE197" s="2258"/>
      <c r="AF197" s="1192"/>
      <c r="AG197" s="1192"/>
      <c r="AH197" s="1192"/>
      <c r="AI197" s="1192"/>
      <c r="AJ197" s="2267">
        <v>11</v>
      </c>
    </row>
    <row s="35197" customFormat="1" customHeight="1" ht="11.549999999999999">
      <c r="A198" s="1613"/>
      <c r="B198" s="2262"/>
      <c r="C198" s="2262"/>
      <c r="D198" s="977"/>
      <c r="J198" s="4642"/>
      <c r="K198" s="4642"/>
      <c r="L198" s="4642"/>
      <c r="M198" s="4642"/>
      <c r="O198" s="1786"/>
      <c r="P198" s="2262"/>
      <c r="Q198" s="2262"/>
      <c r="R198" s="1786"/>
      <c r="S198" s="1786"/>
      <c r="T198" s="1786"/>
      <c r="U198" s="1786"/>
      <c r="V198" s="2262"/>
      <c r="W198" s="1786"/>
      <c r="X198" s="1786"/>
      <c r="Y198" s="1170"/>
      <c r="Z198" s="1786"/>
      <c r="AA198" s="1786"/>
      <c r="AB198" s="1786"/>
      <c r="AC198" s="1786"/>
      <c r="AD198" s="1786"/>
      <c r="AE198" s="2258"/>
      <c r="AF198" s="1192"/>
      <c r="AG198" s="1192"/>
      <c r="AH198" s="1192"/>
      <c r="AI198" s="1192"/>
      <c r="AJ198" s="2267">
        <v>11</v>
      </c>
    </row>
    <row s="35197" customFormat="1" customHeight="1" ht="11.549999999999999">
      <c r="A199" s="1613"/>
      <c r="B199" s="2262"/>
      <c r="C199" s="2262"/>
      <c r="D199" s="977"/>
      <c r="J199" s="4642"/>
      <c r="K199" s="4642"/>
      <c r="L199" s="4642"/>
      <c r="M199" s="4642"/>
      <c r="O199" s="1786"/>
      <c r="P199" s="2262"/>
      <c r="Q199" s="2262"/>
      <c r="R199" s="1786"/>
      <c r="S199" s="1786"/>
      <c r="T199" s="1786"/>
      <c r="U199" s="1786"/>
      <c r="V199" s="2262"/>
      <c r="W199" s="1786"/>
      <c r="X199" s="1786"/>
      <c r="Y199" s="1170"/>
      <c r="Z199" s="1786"/>
      <c r="AA199" s="1786"/>
      <c r="AB199" s="1786"/>
      <c r="AC199" s="1786"/>
      <c r="AD199" s="1786"/>
      <c r="AE199" s="2258"/>
      <c r="AF199" s="1192"/>
      <c r="AG199" s="1192"/>
      <c r="AH199" s="1192"/>
      <c r="AI199" s="1192"/>
      <c r="AJ199" s="2267">
        <v>11</v>
      </c>
    </row>
    <row s="35197" customFormat="1" customHeight="1" ht="11.549999999999999">
      <c r="A200" s="1613"/>
      <c r="B200" s="2262"/>
      <c r="C200" s="2262"/>
      <c r="D200" s="977"/>
      <c r="J200" s="4642"/>
      <c r="K200" s="4642"/>
      <c r="L200" s="4642"/>
      <c r="M200" s="4642"/>
      <c r="O200" s="1786"/>
      <c r="P200" s="2262"/>
      <c r="Q200" s="2262"/>
      <c r="R200" s="1786"/>
      <c r="S200" s="1786"/>
      <c r="T200" s="1786"/>
      <c r="U200" s="1786"/>
      <c r="V200" s="2262"/>
      <c r="W200" s="1786"/>
      <c r="X200" s="1786"/>
      <c r="Y200" s="1170"/>
      <c r="Z200" s="1786"/>
      <c r="AA200" s="1786"/>
      <c r="AB200" s="1786"/>
      <c r="AC200" s="1786"/>
      <c r="AD200" s="1786"/>
      <c r="AE200" s="2258"/>
      <c r="AF200" s="1192"/>
      <c r="AG200" s="1192"/>
      <c r="AH200" s="1192"/>
      <c r="AI200" s="1192"/>
      <c r="AJ200" s="2267">
        <v>11</v>
      </c>
    </row>
    <row s="35197" customFormat="1" customHeight="1" ht="11.549999999999999">
      <c r="A201" s="1613"/>
      <c r="B201" s="2262"/>
      <c r="C201" s="2262"/>
      <c r="D201" s="977"/>
      <c r="J201" s="4642"/>
      <c r="K201" s="4642"/>
      <c r="L201" s="4642"/>
      <c r="M201" s="4642"/>
      <c r="O201" s="1786"/>
      <c r="P201" s="2262"/>
      <c r="Q201" s="2262"/>
      <c r="R201" s="1786"/>
      <c r="S201" s="1786"/>
      <c r="T201" s="1786"/>
      <c r="U201" s="1786"/>
      <c r="V201" s="2262"/>
      <c r="W201" s="1786"/>
      <c r="X201" s="1786"/>
      <c r="Y201" s="1170"/>
      <c r="Z201" s="1786"/>
      <c r="AA201" s="1786"/>
      <c r="AB201" s="1786"/>
      <c r="AC201" s="1786"/>
      <c r="AD201" s="1786"/>
      <c r="AE201" s="2258"/>
      <c r="AF201" s="1192"/>
      <c r="AG201" s="1192"/>
      <c r="AH201" s="1192"/>
      <c r="AI201" s="1192"/>
      <c r="AJ201" s="2267">
        <v>11</v>
      </c>
    </row>
    <row s="35197" customFormat="1" customHeight="1" ht="11.549999999999999">
      <c r="A202" s="1613"/>
      <c r="B202" s="2262"/>
      <c r="C202" s="2262"/>
      <c r="D202" s="977"/>
      <c r="J202" s="4642"/>
      <c r="K202" s="4642"/>
      <c r="L202" s="4642"/>
      <c r="M202" s="4642"/>
      <c r="O202" s="1786"/>
      <c r="P202" s="2262"/>
      <c r="Q202" s="2262"/>
      <c r="R202" s="1786"/>
      <c r="S202" s="1786"/>
      <c r="T202" s="1786"/>
      <c r="U202" s="1786"/>
      <c r="V202" s="2262"/>
      <c r="W202" s="1786"/>
      <c r="X202" s="1786"/>
      <c r="Y202" s="1170"/>
      <c r="Z202" s="1786"/>
      <c r="AA202" s="1786"/>
      <c r="AB202" s="1786"/>
      <c r="AC202" s="1786"/>
      <c r="AD202" s="1786"/>
      <c r="AE202" s="2258"/>
      <c r="AF202" s="1192"/>
      <c r="AG202" s="1192"/>
      <c r="AH202" s="1192"/>
      <c r="AI202" s="1192"/>
      <c r="AJ202" s="2267">
        <v>11</v>
      </c>
    </row>
    <row s="35197" customFormat="1" customHeight="1" ht="11.549999999999999">
      <c r="A203" s="1613"/>
      <c r="B203" s="2262"/>
      <c r="C203" s="2262"/>
      <c r="D203" s="977"/>
      <c r="J203" s="4642"/>
      <c r="K203" s="4642"/>
      <c r="L203" s="4642"/>
      <c r="M203" s="4642"/>
      <c r="O203" s="1786"/>
      <c r="P203" s="2262"/>
      <c r="Q203" s="2262"/>
      <c r="R203" s="1786"/>
      <c r="S203" s="1786"/>
      <c r="T203" s="1786"/>
      <c r="U203" s="1786"/>
      <c r="V203" s="2262"/>
      <c r="W203" s="1786"/>
      <c r="X203" s="1786"/>
      <c r="Y203" s="1170"/>
      <c r="Z203" s="1786"/>
      <c r="AA203" s="1786"/>
      <c r="AB203" s="1786"/>
      <c r="AC203" s="1786"/>
      <c r="AD203" s="1786"/>
      <c r="AE203" s="2258"/>
      <c r="AF203" s="1192"/>
      <c r="AG203" s="1192"/>
      <c r="AH203" s="1192"/>
      <c r="AI203" s="1192"/>
      <c r="AJ203" s="2267">
        <v>11</v>
      </c>
    </row>
    <row s="35197" customFormat="1" customHeight="1" ht="11.549999999999999">
      <c r="A204" s="1613"/>
      <c r="B204" s="2262"/>
      <c r="C204" s="2262"/>
      <c r="D204" s="977"/>
      <c r="J204" s="4642"/>
      <c r="K204" s="4642"/>
      <c r="L204" s="4642"/>
      <c r="M204" s="4642"/>
      <c r="O204" s="1786"/>
      <c r="P204" s="2262"/>
      <c r="Q204" s="2262"/>
      <c r="R204" s="1786"/>
      <c r="S204" s="1786"/>
      <c r="T204" s="1786"/>
      <c r="U204" s="1786"/>
      <c r="V204" s="2262"/>
      <c r="W204" s="1786"/>
      <c r="X204" s="1786"/>
      <c r="Y204" s="1170"/>
      <c r="Z204" s="1786"/>
      <c r="AA204" s="1786"/>
      <c r="AB204" s="1786"/>
      <c r="AC204" s="1786"/>
      <c r="AD204" s="1786"/>
      <c r="AE204" s="2258"/>
      <c r="AF204" s="1192"/>
      <c r="AG204" s="1192"/>
      <c r="AH204" s="1192"/>
      <c r="AI204" s="1192"/>
      <c r="AJ204" s="2267">
        <v>11</v>
      </c>
    </row>
    <row s="35197" customFormat="1" customHeight="1" ht="11.549999999999999">
      <c r="A205" s="1613"/>
      <c r="B205" s="2262"/>
      <c r="C205" s="2262"/>
      <c r="D205" s="977"/>
      <c r="J205" s="4642"/>
      <c r="K205" s="4642"/>
      <c r="L205" s="4642"/>
      <c r="M205" s="4642"/>
      <c r="O205" s="1786"/>
      <c r="P205" s="2262"/>
      <c r="Q205" s="2262"/>
      <c r="R205" s="1786"/>
      <c r="S205" s="1786"/>
      <c r="T205" s="1786"/>
      <c r="U205" s="1786"/>
      <c r="V205" s="2262"/>
      <c r="W205" s="1786"/>
      <c r="X205" s="1786"/>
      <c r="Y205" s="1170"/>
      <c r="Z205" s="1786"/>
      <c r="AA205" s="1786"/>
      <c r="AB205" s="1786"/>
      <c r="AC205" s="1786"/>
      <c r="AD205" s="1786"/>
      <c r="AE205" s="2258"/>
      <c r="AF205" s="1192"/>
      <c r="AG205" s="1192"/>
      <c r="AH205" s="1192"/>
      <c r="AI205" s="1192"/>
      <c r="AJ205" s="2267">
        <v>11</v>
      </c>
    </row>
    <row s="35197" customFormat="1" customHeight="1" ht="11.549999999999999">
      <c r="A206" s="1613"/>
      <c r="B206" s="2262"/>
      <c r="C206" s="2262"/>
      <c r="D206" s="977"/>
      <c r="J206" s="4642"/>
      <c r="K206" s="4642"/>
      <c r="L206" s="4642"/>
      <c r="M206" s="4642"/>
      <c r="O206" s="1786"/>
      <c r="P206" s="2262"/>
      <c r="Q206" s="2262"/>
      <c r="R206" s="1786"/>
      <c r="S206" s="1786"/>
      <c r="T206" s="1786"/>
      <c r="U206" s="1786"/>
      <c r="V206" s="2262"/>
      <c r="W206" s="1786"/>
      <c r="X206" s="1786"/>
      <c r="Y206" s="1170"/>
      <c r="Z206" s="1786"/>
      <c r="AA206" s="1786"/>
      <c r="AB206" s="1786"/>
      <c r="AC206" s="1786"/>
      <c r="AD206" s="1786"/>
      <c r="AE206" s="2258"/>
      <c r="AF206" s="1192"/>
      <c r="AG206" s="1192"/>
      <c r="AH206" s="1192"/>
      <c r="AI206" s="1192"/>
      <c r="AJ206" s="2267">
        <v>11</v>
      </c>
    </row>
    <row s="35197" customFormat="1" customHeight="1" ht="11.549999999999999">
      <c r="A207" s="1613"/>
      <c r="B207" s="2262"/>
      <c r="C207" s="2262"/>
      <c r="D207" s="977"/>
      <c r="J207" s="4642"/>
      <c r="K207" s="4642"/>
      <c r="L207" s="4642"/>
      <c r="M207" s="4642"/>
      <c r="O207" s="1786"/>
      <c r="P207" s="2262"/>
      <c r="Q207" s="2262"/>
      <c r="R207" s="1786"/>
      <c r="S207" s="1786"/>
      <c r="T207" s="1786"/>
      <c r="U207" s="1786"/>
      <c r="V207" s="2262"/>
      <c r="W207" s="1786"/>
      <c r="X207" s="1786"/>
      <c r="Y207" s="1170"/>
      <c r="Z207" s="1786"/>
      <c r="AA207" s="1786"/>
      <c r="AB207" s="1786"/>
      <c r="AC207" s="1786"/>
      <c r="AD207" s="1786"/>
      <c r="AE207" s="2258"/>
      <c r="AF207" s="1192"/>
      <c r="AG207" s="1192"/>
      <c r="AH207" s="1192"/>
      <c r="AI207" s="1192"/>
      <c r="AJ207" s="2267">
        <v>11</v>
      </c>
    </row>
    <row s="35197" customFormat="1" customHeight="1" ht="11.549999999999999">
      <c r="A208" s="1613"/>
      <c r="B208" s="2262"/>
      <c r="C208" s="2262"/>
      <c r="D208" s="977"/>
      <c r="J208" s="4642"/>
      <c r="K208" s="4642"/>
      <c r="L208" s="4642"/>
      <c r="M208" s="4642"/>
      <c r="O208" s="1786"/>
      <c r="P208" s="2262"/>
      <c r="Q208" s="2262"/>
      <c r="R208" s="1786"/>
      <c r="S208" s="1786"/>
      <c r="T208" s="1786"/>
      <c r="U208" s="1786"/>
      <c r="V208" s="2262"/>
      <c r="W208" s="1786"/>
      <c r="X208" s="1786"/>
      <c r="Y208" s="1170"/>
      <c r="Z208" s="1786"/>
      <c r="AA208" s="1786"/>
      <c r="AB208" s="1786"/>
      <c r="AC208" s="1786"/>
      <c r="AD208" s="1786"/>
      <c r="AE208" s="2258"/>
      <c r="AF208" s="1192"/>
      <c r="AG208" s="1192"/>
      <c r="AH208" s="1192"/>
      <c r="AI208" s="1192"/>
      <c r="AJ208" s="2267">
        <v>11</v>
      </c>
    </row>
    <row s="35197" customFormat="1" customHeight="1" ht="11.549999999999999">
      <c r="A209" s="1613"/>
      <c r="B209" s="2262"/>
      <c r="C209" s="2262"/>
      <c r="D209" s="977"/>
      <c r="J209" s="4642"/>
      <c r="K209" s="4642"/>
      <c r="L209" s="4642"/>
      <c r="M209" s="4642"/>
      <c r="O209" s="1786"/>
      <c r="P209" s="2262"/>
      <c r="Q209" s="2262"/>
      <c r="R209" s="1786"/>
      <c r="S209" s="1786"/>
      <c r="T209" s="1786"/>
      <c r="U209" s="1786"/>
      <c r="V209" s="2262"/>
      <c r="W209" s="1786"/>
      <c r="X209" s="1786"/>
      <c r="Y209" s="1170"/>
      <c r="Z209" s="1786"/>
      <c r="AA209" s="1786"/>
      <c r="AB209" s="1786"/>
      <c r="AC209" s="1786"/>
      <c r="AD209" s="1786"/>
      <c r="AE209" s="2258"/>
      <c r="AF209" s="1192"/>
      <c r="AG209" s="1192"/>
      <c r="AH209" s="1192"/>
      <c r="AI209" s="1192"/>
      <c r="AJ209" s="2267">
        <v>11</v>
      </c>
    </row>
    <row s="35197" customFormat="1" customHeight="1" ht="11.549999999999999">
      <c r="A210" s="1613"/>
      <c r="B210" s="2262"/>
      <c r="C210" s="2262"/>
      <c r="D210" s="977"/>
      <c r="J210" s="4642"/>
      <c r="K210" s="4642"/>
      <c r="L210" s="4642"/>
      <c r="M210" s="4642"/>
      <c r="O210" s="1786"/>
      <c r="P210" s="2262"/>
      <c r="Q210" s="2262"/>
      <c r="R210" s="1786"/>
      <c r="S210" s="1786"/>
      <c r="T210" s="1786"/>
      <c r="U210" s="1786"/>
      <c r="V210" s="2262"/>
      <c r="W210" s="1786"/>
      <c r="X210" s="1786"/>
      <c r="Y210" s="1170"/>
      <c r="Z210" s="1786"/>
      <c r="AA210" s="1786"/>
      <c r="AB210" s="1786"/>
      <c r="AC210" s="1786"/>
      <c r="AD210" s="1786"/>
      <c r="AE210" s="2258"/>
      <c r="AF210" s="1192"/>
      <c r="AG210" s="1192"/>
      <c r="AH210" s="1192"/>
      <c r="AI210" s="1192"/>
      <c r="AJ210" s="2267">
        <v>11</v>
      </c>
    </row>
    <row s="35197" customFormat="1" customHeight="1" ht="11.549999999999999">
      <c r="A211" s="1613"/>
      <c r="B211" s="2262"/>
      <c r="C211" s="2262"/>
      <c r="D211" s="977"/>
      <c r="J211" s="4642"/>
      <c r="K211" s="4642"/>
      <c r="L211" s="4642"/>
      <c r="M211" s="4642"/>
      <c r="O211" s="1786"/>
      <c r="P211" s="2262"/>
      <c r="Q211" s="2262"/>
      <c r="R211" s="1786"/>
      <c r="S211" s="1786"/>
      <c r="T211" s="1786"/>
      <c r="U211" s="1786"/>
      <c r="V211" s="2262"/>
      <c r="W211" s="1786"/>
      <c r="X211" s="1786"/>
      <c r="Y211" s="1170"/>
      <c r="Z211" s="1786"/>
      <c r="AA211" s="1786"/>
      <c r="AB211" s="1786"/>
      <c r="AC211" s="1786"/>
      <c r="AD211" s="1786"/>
      <c r="AE211" s="2258"/>
      <c r="AF211" s="1192"/>
      <c r="AG211" s="1192"/>
      <c r="AH211" s="1192"/>
      <c r="AI211" s="1192"/>
      <c r="AJ211" s="2267">
        <v>11</v>
      </c>
    </row>
    <row s="35197" customFormat="1" customHeight="1" ht="11.549999999999999">
      <c r="A212" s="1613"/>
      <c r="B212" s="2262"/>
      <c r="C212" s="2262"/>
      <c r="D212" s="977"/>
      <c r="J212" s="4642"/>
      <c r="K212" s="4642"/>
      <c r="L212" s="4642"/>
      <c r="M212" s="4642"/>
      <c r="O212" s="1786"/>
      <c r="P212" s="2262"/>
      <c r="Q212" s="2262"/>
      <c r="R212" s="1786"/>
      <c r="S212" s="1786"/>
      <c r="T212" s="1786"/>
      <c r="U212" s="1786"/>
      <c r="V212" s="2262"/>
      <c r="W212" s="1786"/>
      <c r="X212" s="1786"/>
      <c r="Y212" s="1170"/>
      <c r="Z212" s="1786"/>
      <c r="AA212" s="1786"/>
      <c r="AB212" s="1786"/>
      <c r="AC212" s="1786"/>
      <c r="AD212" s="1786"/>
      <c r="AE212" s="2258"/>
      <c r="AF212" s="1192"/>
      <c r="AG212" s="1192"/>
      <c r="AH212" s="1192"/>
      <c r="AI212" s="1192"/>
      <c r="AJ212" s="2267">
        <v>11</v>
      </c>
    </row>
    <row s="35197" customFormat="1" customHeight="1" ht="11.549999999999999">
      <c r="A213" s="1613"/>
      <c r="B213" s="2262"/>
      <c r="C213" s="2262"/>
      <c r="D213" s="977"/>
      <c r="J213" s="4642"/>
      <c r="K213" s="4642"/>
      <c r="L213" s="4642"/>
      <c r="M213" s="4642"/>
      <c r="O213" s="1786"/>
      <c r="P213" s="2262"/>
      <c r="Q213" s="2262"/>
      <c r="R213" s="1786"/>
      <c r="S213" s="1786"/>
      <c r="T213" s="1786"/>
      <c r="U213" s="1786"/>
      <c r="V213" s="2262"/>
      <c r="W213" s="1786"/>
      <c r="X213" s="1786"/>
      <c r="Y213" s="1170"/>
      <c r="Z213" s="1786"/>
      <c r="AA213" s="1786"/>
      <c r="AB213" s="1786"/>
      <c r="AC213" s="1786"/>
      <c r="AD213" s="1786"/>
      <c r="AE213" s="2258"/>
      <c r="AF213" s="1192"/>
      <c r="AG213" s="1192"/>
      <c r="AH213" s="1192"/>
      <c r="AI213" s="1192"/>
      <c r="AJ213" s="2267">
        <v>11</v>
      </c>
    </row>
    <row s="35197" customFormat="1" customHeight="1" ht="11.549999999999999">
      <c r="A214" s="1613"/>
      <c r="B214" s="2262"/>
      <c r="C214" s="2262"/>
      <c r="D214" s="977"/>
      <c r="J214" s="4642"/>
      <c r="K214" s="4642"/>
      <c r="L214" s="4642"/>
      <c r="M214" s="4642"/>
      <c r="O214" s="1786"/>
      <c r="P214" s="2262"/>
      <c r="Q214" s="2262"/>
      <c r="R214" s="1786"/>
      <c r="S214" s="1786"/>
      <c r="T214" s="1786"/>
      <c r="U214" s="1786"/>
      <c r="V214" s="2262"/>
      <c r="W214" s="1786"/>
      <c r="X214" s="1786"/>
      <c r="Y214" s="1170"/>
      <c r="Z214" s="1786"/>
      <c r="AA214" s="1786"/>
      <c r="AB214" s="1786"/>
      <c r="AC214" s="1786"/>
      <c r="AD214" s="1786"/>
      <c r="AE214" s="2258"/>
      <c r="AF214" s="1192"/>
      <c r="AG214" s="1192"/>
      <c r="AH214" s="1192"/>
      <c r="AI214" s="1192"/>
      <c r="AJ214" s="2267">
        <v>11</v>
      </c>
    </row>
    <row s="35197" customFormat="1" customHeight="1" ht="11.549999999999999">
      <c r="A215" s="1613"/>
      <c r="B215" s="2262"/>
      <c r="C215" s="2262"/>
      <c r="D215" s="977"/>
      <c r="J215" s="4642"/>
      <c r="K215" s="4642"/>
      <c r="L215" s="4642"/>
      <c r="M215" s="4642"/>
      <c r="O215" s="1786"/>
      <c r="P215" s="2262"/>
      <c r="Q215" s="2262"/>
      <c r="R215" s="1786"/>
      <c r="S215" s="1786"/>
      <c r="T215" s="1786"/>
      <c r="U215" s="1786"/>
      <c r="V215" s="2262"/>
      <c r="W215" s="1786"/>
      <c r="X215" s="1786"/>
      <c r="Y215" s="1170"/>
      <c r="Z215" s="1786"/>
      <c r="AA215" s="1786"/>
      <c r="AB215" s="1786"/>
      <c r="AC215" s="1786"/>
      <c r="AD215" s="1786"/>
      <c r="AE215" s="2258"/>
      <c r="AF215" s="1192"/>
      <c r="AG215" s="1192"/>
      <c r="AH215" s="1192"/>
      <c r="AI215" s="1192"/>
      <c r="AJ215" s="2267">
        <v>11</v>
      </c>
    </row>
    <row s="35197" customFormat="1" customHeight="1" ht="11.549999999999999">
      <c r="A216" s="1613"/>
      <c r="B216" s="2262"/>
      <c r="C216" s="2262"/>
      <c r="D216" s="977"/>
      <c r="J216" s="4642"/>
      <c r="K216" s="4642"/>
      <c r="L216" s="4642"/>
      <c r="M216" s="4642"/>
      <c r="O216" s="1786"/>
      <c r="P216" s="2262"/>
      <c r="Q216" s="2262"/>
      <c r="R216" s="1786"/>
      <c r="S216" s="1786"/>
      <c r="T216" s="1786"/>
      <c r="U216" s="1786"/>
      <c r="V216" s="2262"/>
      <c r="W216" s="1786"/>
      <c r="X216" s="1786"/>
      <c r="Y216" s="1170"/>
      <c r="Z216" s="1786"/>
      <c r="AA216" s="1786"/>
      <c r="AB216" s="1786"/>
      <c r="AC216" s="1786"/>
      <c r="AD216" s="1786"/>
      <c r="AE216" s="2258"/>
      <c r="AF216" s="1192"/>
      <c r="AG216" s="1192"/>
      <c r="AH216" s="1192"/>
      <c r="AI216" s="1192"/>
      <c r="AJ216" s="2267">
        <v>11</v>
      </c>
    </row>
    <row s="35197" customFormat="1" customHeight="1" ht="11.549999999999999">
      <c r="A217" s="1613"/>
      <c r="B217" s="2262"/>
      <c r="C217" s="2262"/>
      <c r="D217" s="977"/>
      <c r="J217" s="4642"/>
      <c r="K217" s="4642"/>
      <c r="L217" s="4642"/>
      <c r="M217" s="4642"/>
      <c r="O217" s="1786"/>
      <c r="P217" s="2262"/>
      <c r="Q217" s="2262"/>
      <c r="R217" s="1786"/>
      <c r="S217" s="1786"/>
      <c r="T217" s="1786"/>
      <c r="U217" s="1786"/>
      <c r="V217" s="2262"/>
      <c r="W217" s="1786"/>
      <c r="X217" s="1786"/>
      <c r="Y217" s="1170"/>
      <c r="Z217" s="1786"/>
      <c r="AA217" s="1786"/>
      <c r="AB217" s="1786"/>
      <c r="AC217" s="1786"/>
      <c r="AD217" s="1786"/>
      <c r="AE217" s="2258"/>
      <c r="AF217" s="1192"/>
      <c r="AG217" s="1192"/>
      <c r="AH217" s="1192"/>
      <c r="AI217" s="1192"/>
      <c r="AJ217" s="2267">
        <v>11</v>
      </c>
    </row>
    <row s="35197" customFormat="1" customHeight="1" ht="11.549999999999999">
      <c r="A218" s="1613"/>
      <c r="B218" s="2262"/>
      <c r="C218" s="2262"/>
      <c r="D218" s="977"/>
      <c r="J218" s="4642"/>
      <c r="K218" s="4642"/>
      <c r="L218" s="4642"/>
      <c r="M218" s="4642"/>
      <c r="O218" s="1786"/>
      <c r="P218" s="2262"/>
      <c r="Q218" s="2262"/>
      <c r="R218" s="1786"/>
      <c r="S218" s="1786"/>
      <c r="T218" s="1786"/>
      <c r="U218" s="1786"/>
      <c r="V218" s="2262"/>
      <c r="W218" s="1786"/>
      <c r="X218" s="1786"/>
      <c r="Y218" s="1170"/>
      <c r="Z218" s="1786"/>
      <c r="AA218" s="1786"/>
      <c r="AB218" s="1786"/>
      <c r="AC218" s="1786"/>
      <c r="AD218" s="1786"/>
      <c r="AE218" s="2258"/>
      <c r="AF218" s="1192"/>
      <c r="AG218" s="1192"/>
      <c r="AH218" s="1192"/>
      <c r="AI218" s="1192"/>
      <c r="AJ218" s="2267">
        <v>11</v>
      </c>
    </row>
    <row s="35197" customFormat="1" customHeight="1" ht="11.549999999999999">
      <c r="A219" s="1613"/>
      <c r="B219" s="2262"/>
      <c r="C219" s="2262"/>
      <c r="D219" s="977"/>
      <c r="J219" s="4642"/>
      <c r="K219" s="4642"/>
      <c r="L219" s="4642"/>
      <c r="M219" s="4642"/>
      <c r="O219" s="1786"/>
      <c r="P219" s="2262"/>
      <c r="Q219" s="2262"/>
      <c r="R219" s="1786"/>
      <c r="S219" s="1786"/>
      <c r="T219" s="1786"/>
      <c r="U219" s="1786"/>
      <c r="V219" s="2262"/>
      <c r="W219" s="1786"/>
      <c r="X219" s="1786"/>
      <c r="Y219" s="1170"/>
      <c r="Z219" s="1786"/>
      <c r="AA219" s="1786"/>
      <c r="AB219" s="1786"/>
      <c r="AC219" s="1786"/>
      <c r="AD219" s="1786"/>
      <c r="AE219" s="2258"/>
      <c r="AF219" s="1192"/>
      <c r="AG219" s="1192"/>
      <c r="AH219" s="1192"/>
      <c r="AI219" s="1192"/>
      <c r="AJ219" s="2267">
        <v>11</v>
      </c>
    </row>
    <row s="35197" customFormat="1" customHeight="1" ht="11.549999999999999">
      <c r="A220" s="1613"/>
      <c r="B220" s="2262"/>
      <c r="C220" s="2262"/>
      <c r="D220" s="977"/>
      <c r="J220" s="4642"/>
      <c r="K220" s="4642"/>
      <c r="L220" s="4642"/>
      <c r="M220" s="4642"/>
      <c r="O220" s="1786"/>
      <c r="P220" s="2262"/>
      <c r="Q220" s="2262"/>
      <c r="R220" s="1786"/>
      <c r="S220" s="1786"/>
      <c r="T220" s="1786"/>
      <c r="U220" s="1786"/>
      <c r="V220" s="2262"/>
      <c r="W220" s="1786"/>
      <c r="X220" s="1786"/>
      <c r="Y220" s="1170"/>
      <c r="Z220" s="1786"/>
      <c r="AA220" s="1786"/>
      <c r="AB220" s="1786"/>
      <c r="AC220" s="1786"/>
      <c r="AD220" s="1786"/>
      <c r="AE220" s="2258"/>
      <c r="AF220" s="1192"/>
      <c r="AG220" s="1192"/>
      <c r="AH220" s="1192"/>
      <c r="AI220" s="1192"/>
      <c r="AJ220" s="2267">
        <v>11</v>
      </c>
    </row>
    <row s="35197" customFormat="1" customHeight="1" ht="11.549999999999999">
      <c r="A221" s="1613"/>
      <c r="B221" s="2262"/>
      <c r="C221" s="2262"/>
      <c r="D221" s="977"/>
      <c r="J221" s="4642"/>
      <c r="K221" s="4642"/>
      <c r="L221" s="4642"/>
      <c r="M221" s="4642"/>
      <c r="O221" s="1786"/>
      <c r="P221" s="2262"/>
      <c r="Q221" s="2262"/>
      <c r="R221" s="1786"/>
      <c r="S221" s="1786"/>
      <c r="T221" s="1786"/>
      <c r="U221" s="1786"/>
      <c r="V221" s="2262"/>
      <c r="W221" s="1786"/>
      <c r="X221" s="1786"/>
      <c r="Y221" s="1170"/>
      <c r="Z221" s="1786"/>
      <c r="AA221" s="1786"/>
      <c r="AB221" s="1786"/>
      <c r="AC221" s="1786"/>
      <c r="AD221" s="1786"/>
      <c r="AE221" s="2258"/>
      <c r="AF221" s="1192"/>
      <c r="AG221" s="1192"/>
      <c r="AH221" s="1192"/>
      <c r="AI221" s="1192"/>
      <c r="AJ221" s="2267">
        <v>11</v>
      </c>
    </row>
    <row s="35197" customFormat="1" customHeight="1" ht="11.549999999999999">
      <c r="A222" s="1613"/>
      <c r="B222" s="2262"/>
      <c r="C222" s="2262"/>
      <c r="D222" s="977"/>
      <c r="J222" s="4642"/>
      <c r="K222" s="4642"/>
      <c r="L222" s="4642"/>
      <c r="M222" s="4642"/>
      <c r="O222" s="1786"/>
      <c r="P222" s="2262"/>
      <c r="Q222" s="2262"/>
      <c r="R222" s="1786"/>
      <c r="S222" s="1786"/>
      <c r="T222" s="1786"/>
      <c r="U222" s="1786"/>
      <c r="V222" s="2262"/>
      <c r="W222" s="1786"/>
      <c r="X222" s="1786"/>
      <c r="Y222" s="1170"/>
      <c r="Z222" s="1786"/>
      <c r="AA222" s="1786"/>
      <c r="AB222" s="1786"/>
      <c r="AC222" s="1786"/>
      <c r="AD222" s="1786"/>
      <c r="AE222" s="2258"/>
      <c r="AF222" s="1192"/>
      <c r="AG222" s="1192"/>
      <c r="AH222" s="1192"/>
      <c r="AI222" s="1192"/>
      <c r="AJ222" s="2267">
        <v>11</v>
      </c>
    </row>
    <row s="35197" customFormat="1" customHeight="1" ht="11.549999999999999">
      <c r="A223" s="1613"/>
      <c r="B223" s="2262"/>
      <c r="C223" s="2262"/>
      <c r="D223" s="977"/>
      <c r="J223" s="4642"/>
      <c r="K223" s="4642"/>
      <c r="L223" s="4642"/>
      <c r="M223" s="4642"/>
      <c r="O223" s="1786"/>
      <c r="P223" s="2262"/>
      <c r="Q223" s="2262"/>
      <c r="R223" s="1786"/>
      <c r="S223" s="1786"/>
      <c r="T223" s="1786"/>
      <c r="U223" s="1786"/>
      <c r="V223" s="2262"/>
      <c r="W223" s="1786"/>
      <c r="X223" s="1786"/>
      <c r="Y223" s="1170"/>
      <c r="Z223" s="1786"/>
      <c r="AA223" s="1786"/>
      <c r="AB223" s="1786"/>
      <c r="AC223" s="1786"/>
      <c r="AD223" s="1786"/>
      <c r="AE223" s="2258"/>
      <c r="AF223" s="1192"/>
      <c r="AG223" s="1192"/>
      <c r="AH223" s="1192"/>
      <c r="AI223" s="1192"/>
      <c r="AJ223" s="2267">
        <v>11</v>
      </c>
    </row>
    <row s="35197" customFormat="1" customHeight="1" ht="11.549999999999999">
      <c r="A224" s="1613"/>
      <c r="B224" s="2262"/>
      <c r="C224" s="2262"/>
      <c r="D224" s="977"/>
      <c r="J224" s="4642"/>
      <c r="K224" s="4642"/>
      <c r="L224" s="4642"/>
      <c r="M224" s="4642"/>
      <c r="O224" s="1786"/>
      <c r="P224" s="2262"/>
      <c r="Q224" s="2262"/>
      <c r="R224" s="1786"/>
      <c r="S224" s="1786"/>
      <c r="T224" s="1786"/>
      <c r="U224" s="1786"/>
      <c r="V224" s="2262"/>
      <c r="W224" s="1786"/>
      <c r="X224" s="1786"/>
      <c r="Y224" s="1170"/>
      <c r="Z224" s="1786"/>
      <c r="AA224" s="1786"/>
      <c r="AB224" s="1786"/>
      <c r="AC224" s="1786"/>
      <c r="AD224" s="1786"/>
      <c r="AE224" s="2258"/>
      <c r="AF224" s="1192"/>
      <c r="AG224" s="1192"/>
      <c r="AH224" s="1192"/>
      <c r="AI224" s="1192"/>
      <c r="AJ224" s="2267">
        <v>11</v>
      </c>
    </row>
    <row s="35197" customFormat="1" customHeight="1" ht="11.549999999999999">
      <c r="A225" s="1613"/>
      <c r="B225" s="2262"/>
      <c r="C225" s="2262"/>
      <c r="D225" s="977"/>
      <c r="J225" s="4642"/>
      <c r="K225" s="4642"/>
      <c r="L225" s="4642"/>
      <c r="M225" s="4642"/>
      <c r="O225" s="1786"/>
      <c r="P225" s="2262"/>
      <c r="Q225" s="2262"/>
      <c r="R225" s="1786"/>
      <c r="S225" s="1786"/>
      <c r="T225" s="1786"/>
      <c r="U225" s="1786"/>
      <c r="V225" s="2262"/>
      <c r="W225" s="1786"/>
      <c r="X225" s="1786"/>
      <c r="Y225" s="1170"/>
      <c r="Z225" s="1786"/>
      <c r="AA225" s="1786"/>
      <c r="AB225" s="1786"/>
      <c r="AC225" s="1786"/>
      <c r="AD225" s="1786"/>
      <c r="AE225" s="2258"/>
      <c r="AF225" s="1192"/>
      <c r="AG225" s="1192"/>
      <c r="AH225" s="1192"/>
      <c r="AI225" s="1192"/>
      <c r="AJ225" s="2267">
        <v>11</v>
      </c>
    </row>
    <row s="35197" customFormat="1" customHeight="1" ht="11.549999999999999">
      <c r="A226" s="1613"/>
      <c r="B226" s="2262"/>
      <c r="C226" s="2262"/>
      <c r="D226" s="977"/>
      <c r="J226" s="4642"/>
      <c r="K226" s="4642"/>
      <c r="L226" s="4642"/>
      <c r="M226" s="4642"/>
      <c r="O226" s="1786"/>
      <c r="P226" s="2262"/>
      <c r="Q226" s="2262"/>
      <c r="R226" s="1786"/>
      <c r="S226" s="1786"/>
      <c r="T226" s="1786"/>
      <c r="U226" s="1786"/>
      <c r="V226" s="2262"/>
      <c r="W226" s="1786"/>
      <c r="X226" s="1786"/>
      <c r="Y226" s="1170"/>
      <c r="Z226" s="1786"/>
      <c r="AA226" s="1786"/>
      <c r="AB226" s="1786"/>
      <c r="AC226" s="1786"/>
      <c r="AD226" s="1786"/>
      <c r="AE226" s="2258"/>
      <c r="AF226" s="1192"/>
      <c r="AG226" s="1192"/>
      <c r="AH226" s="1192"/>
      <c r="AI226" s="1192"/>
      <c r="AJ226" s="2267">
        <v>11</v>
      </c>
    </row>
    <row s="35197" customFormat="1" customHeight="1" ht="11.549999999999999">
      <c r="A227" s="1613"/>
      <c r="B227" s="2262"/>
      <c r="C227" s="2262"/>
      <c r="D227" s="977"/>
      <c r="J227" s="4642"/>
      <c r="K227" s="4642"/>
      <c r="L227" s="4642"/>
      <c r="M227" s="4642"/>
      <c r="O227" s="1786"/>
      <c r="P227" s="2262"/>
      <c r="Q227" s="2262"/>
      <c r="R227" s="1786"/>
      <c r="S227" s="1786"/>
      <c r="T227" s="1786"/>
      <c r="U227" s="1786"/>
      <c r="V227" s="2262"/>
      <c r="W227" s="1786"/>
      <c r="X227" s="1786"/>
      <c r="Y227" s="1170"/>
      <c r="Z227" s="1786"/>
      <c r="AA227" s="1786"/>
      <c r="AB227" s="1786"/>
      <c r="AC227" s="1786"/>
      <c r="AD227" s="1786"/>
      <c r="AE227" s="2258"/>
      <c r="AF227" s="1192"/>
      <c r="AG227" s="1192"/>
      <c r="AH227" s="1192"/>
      <c r="AI227" s="1192"/>
      <c r="AJ227" s="2267">
        <v>11</v>
      </c>
    </row>
    <row s="35197" customFormat="1" customHeight="1" ht="11.549999999999999">
      <c r="A228" s="1613"/>
      <c r="B228" s="2262"/>
      <c r="C228" s="2262"/>
      <c r="D228" s="977"/>
      <c r="J228" s="4642"/>
      <c r="K228" s="4642"/>
      <c r="L228" s="4642"/>
      <c r="M228" s="4642"/>
      <c r="O228" s="1786"/>
      <c r="P228" s="2262"/>
      <c r="Q228" s="2262"/>
      <c r="R228" s="1786"/>
      <c r="S228" s="1786"/>
      <c r="T228" s="1786"/>
      <c r="U228" s="1786"/>
      <c r="V228" s="2262"/>
      <c r="W228" s="1786"/>
      <c r="X228" s="1786"/>
      <c r="Y228" s="1170"/>
      <c r="Z228" s="1786"/>
      <c r="AA228" s="1786"/>
      <c r="AB228" s="1786"/>
      <c r="AC228" s="1786"/>
      <c r="AD228" s="1786"/>
      <c r="AE228" s="2258"/>
      <c r="AF228" s="1192"/>
      <c r="AG228" s="1192"/>
      <c r="AH228" s="1192"/>
      <c r="AI228" s="1192"/>
      <c r="AJ228" s="2267">
        <v>11</v>
      </c>
    </row>
    <row s="35197" customFormat="1" customHeight="1" ht="11.549999999999999">
      <c r="A229" s="1613"/>
      <c r="B229" s="2262"/>
      <c r="C229" s="2262"/>
      <c r="D229" s="977"/>
      <c r="J229" s="4642"/>
      <c r="K229" s="4642"/>
      <c r="L229" s="4642"/>
      <c r="M229" s="4642"/>
      <c r="O229" s="1786"/>
      <c r="P229" s="2262"/>
      <c r="Q229" s="2262"/>
      <c r="R229" s="1786"/>
      <c r="S229" s="1786"/>
      <c r="T229" s="1786"/>
      <c r="U229" s="1786"/>
      <c r="V229" s="2262"/>
      <c r="W229" s="1786"/>
      <c r="X229" s="1786"/>
      <c r="Y229" s="1170"/>
      <c r="Z229" s="1786"/>
      <c r="AA229" s="1786"/>
      <c r="AB229" s="1786"/>
      <c r="AC229" s="1786"/>
      <c r="AD229" s="1786"/>
      <c r="AE229" s="2258"/>
      <c r="AF229" s="1192"/>
      <c r="AG229" s="1192"/>
      <c r="AH229" s="1192"/>
      <c r="AI229" s="1192"/>
      <c r="AJ229" s="2267">
        <v>11</v>
      </c>
    </row>
    <row s="35197" customFormat="1" customHeight="1" ht="11.549999999999999">
      <c r="A230" s="1613"/>
      <c r="B230" s="2262"/>
      <c r="C230" s="2262"/>
      <c r="D230" s="977"/>
      <c r="J230" s="4642"/>
      <c r="K230" s="4642"/>
      <c r="L230" s="4642"/>
      <c r="M230" s="4642"/>
      <c r="O230" s="1786"/>
      <c r="P230" s="2262"/>
      <c r="Q230" s="2262"/>
      <c r="R230" s="1786"/>
      <c r="S230" s="1786"/>
      <c r="T230" s="1786"/>
      <c r="U230" s="1786"/>
      <c r="V230" s="2262"/>
      <c r="W230" s="1786"/>
      <c r="X230" s="1786"/>
      <c r="Y230" s="1170"/>
      <c r="Z230" s="1786"/>
      <c r="AA230" s="1786"/>
      <c r="AB230" s="1786"/>
      <c r="AC230" s="1786"/>
      <c r="AD230" s="1786"/>
      <c r="AE230" s="2258"/>
      <c r="AF230" s="1192"/>
      <c r="AG230" s="1192"/>
      <c r="AH230" s="1192"/>
      <c r="AI230" s="1192"/>
      <c r="AJ230" s="2267">
        <v>11</v>
      </c>
    </row>
    <row s="35197" customFormat="1" customHeight="1" ht="11.549999999999999">
      <c r="A231" s="1613"/>
      <c r="B231" s="2262"/>
      <c r="C231" s="2262"/>
      <c r="D231" s="977"/>
      <c r="J231" s="4642"/>
      <c r="K231" s="4642"/>
      <c r="L231" s="4642"/>
      <c r="M231" s="4642"/>
      <c r="O231" s="1786"/>
      <c r="P231" s="2262"/>
      <c r="Q231" s="2262"/>
      <c r="R231" s="1786"/>
      <c r="S231" s="1786"/>
      <c r="T231" s="1786"/>
      <c r="U231" s="1786"/>
      <c r="V231" s="2262"/>
      <c r="W231" s="1786"/>
      <c r="X231" s="1786"/>
      <c r="Y231" s="1170"/>
      <c r="Z231" s="1786"/>
      <c r="AA231" s="1786"/>
      <c r="AB231" s="1786"/>
      <c r="AC231" s="1786"/>
      <c r="AD231" s="1786"/>
      <c r="AE231" s="2258"/>
      <c r="AF231" s="1192"/>
      <c r="AG231" s="1192"/>
      <c r="AH231" s="1192"/>
      <c r="AI231" s="1192"/>
      <c r="AJ231" s="2267">
        <v>11</v>
      </c>
    </row>
    <row s="35197" customFormat="1" customHeight="1" ht="11.549999999999999">
      <c r="A232" s="1613"/>
      <c r="B232" s="2262"/>
      <c r="C232" s="2262"/>
      <c r="D232" s="977"/>
      <c r="J232" s="4642"/>
      <c r="K232" s="4642"/>
      <c r="L232" s="4642"/>
      <c r="M232" s="4642"/>
      <c r="O232" s="1786"/>
      <c r="P232" s="2262"/>
      <c r="Q232" s="2262"/>
      <c r="R232" s="1786"/>
      <c r="S232" s="1786"/>
      <c r="T232" s="1786"/>
      <c r="U232" s="1786"/>
      <c r="V232" s="2262"/>
      <c r="W232" s="1786"/>
      <c r="X232" s="1786"/>
      <c r="Y232" s="1170"/>
      <c r="Z232" s="1786"/>
      <c r="AA232" s="1786"/>
      <c r="AB232" s="1786"/>
      <c r="AC232" s="1786"/>
      <c r="AD232" s="1786"/>
      <c r="AE232" s="2258"/>
      <c r="AF232" s="1192"/>
      <c r="AG232" s="1192"/>
      <c r="AH232" s="1192"/>
      <c r="AI232" s="1192"/>
      <c r="AJ232" s="2267">
        <v>11</v>
      </c>
    </row>
    <row s="35197" customFormat="1" customHeight="1" ht="11.549999999999999">
      <c r="A233" s="1613"/>
      <c r="B233" s="2262"/>
      <c r="C233" s="2262"/>
      <c r="D233" s="977"/>
      <c r="J233" s="4642"/>
      <c r="K233" s="4642"/>
      <c r="L233" s="4642"/>
      <c r="M233" s="4642"/>
      <c r="O233" s="1786"/>
      <c r="P233" s="2262"/>
      <c r="Q233" s="2262"/>
      <c r="R233" s="1786"/>
      <c r="S233" s="1786"/>
      <c r="T233" s="1786"/>
      <c r="U233" s="1786"/>
      <c r="V233" s="2262"/>
      <c r="W233" s="1786"/>
      <c r="X233" s="1786"/>
      <c r="Y233" s="1170"/>
      <c r="Z233" s="1786"/>
      <c r="AA233" s="1786"/>
      <c r="AB233" s="1786"/>
      <c r="AC233" s="1786"/>
      <c r="AD233" s="1786"/>
      <c r="AE233" s="2258"/>
      <c r="AF233" s="1192"/>
      <c r="AG233" s="1192"/>
      <c r="AH233" s="1192"/>
      <c r="AI233" s="1192"/>
      <c r="AJ233" s="2267">
        <v>11</v>
      </c>
    </row>
    <row s="35197" customFormat="1" customHeight="1" ht="11.549999999999999">
      <c r="A234" s="1613"/>
      <c r="B234" s="2262"/>
      <c r="C234" s="2262"/>
      <c r="D234" s="977"/>
      <c r="J234" s="4642"/>
      <c r="K234" s="4642"/>
      <c r="L234" s="4642"/>
      <c r="M234" s="4642"/>
      <c r="O234" s="1786"/>
      <c r="P234" s="2262"/>
      <c r="Q234" s="2262"/>
      <c r="R234" s="1786"/>
      <c r="S234" s="1786"/>
      <c r="T234" s="1786"/>
      <c r="U234" s="1786"/>
      <c r="V234" s="2262"/>
      <c r="W234" s="1786"/>
      <c r="X234" s="1786"/>
      <c r="Y234" s="1170"/>
      <c r="Z234" s="1786"/>
      <c r="AA234" s="1786"/>
      <c r="AB234" s="1786"/>
      <c r="AC234" s="1786"/>
      <c r="AD234" s="1786"/>
      <c r="AE234" s="2258"/>
      <c r="AF234" s="1192"/>
      <c r="AG234" s="1192"/>
      <c r="AH234" s="1192"/>
      <c r="AI234" s="1192"/>
      <c r="AJ234" s="2267">
        <v>11</v>
      </c>
    </row>
    <row s="35197" customFormat="1" customHeight="1" ht="11.549999999999999">
      <c r="A235" s="1613"/>
      <c r="B235" s="2262"/>
      <c r="C235" s="2262"/>
      <c r="D235" s="977"/>
      <c r="J235" s="4642"/>
      <c r="K235" s="4642"/>
      <c r="L235" s="4642"/>
      <c r="M235" s="4642"/>
      <c r="O235" s="1786"/>
      <c r="P235" s="2262"/>
      <c r="Q235" s="2262"/>
      <c r="R235" s="1786"/>
      <c r="S235" s="1786"/>
      <c r="T235" s="1786"/>
      <c r="U235" s="1786"/>
      <c r="V235" s="2262"/>
      <c r="W235" s="1786"/>
      <c r="X235" s="1786"/>
      <c r="Y235" s="1170"/>
      <c r="Z235" s="1786"/>
      <c r="AA235" s="1786"/>
      <c r="AB235" s="1786"/>
      <c r="AC235" s="1786"/>
      <c r="AD235" s="1786"/>
      <c r="AE235" s="2258"/>
      <c r="AF235" s="1192"/>
      <c r="AG235" s="1192"/>
      <c r="AH235" s="1192"/>
      <c r="AI235" s="1192"/>
      <c r="AJ235" s="2267">
        <v>11</v>
      </c>
    </row>
    <row s="35197" customFormat="1" customHeight="1" ht="11.549999999999999">
      <c r="A236" s="1613"/>
      <c r="B236" s="2262"/>
      <c r="C236" s="2262"/>
      <c r="D236" s="977"/>
      <c r="J236" s="4642"/>
      <c r="K236" s="4642"/>
      <c r="L236" s="4642"/>
      <c r="M236" s="4642"/>
      <c r="O236" s="1786"/>
      <c r="P236" s="2262"/>
      <c r="Q236" s="2262"/>
      <c r="R236" s="1786"/>
      <c r="S236" s="1786"/>
      <c r="T236" s="1786"/>
      <c r="U236" s="1786"/>
      <c r="V236" s="2262"/>
      <c r="W236" s="1786"/>
      <c r="X236" s="1786"/>
      <c r="Y236" s="1170"/>
      <c r="Z236" s="1786"/>
      <c r="AA236" s="1786"/>
      <c r="AB236" s="1786"/>
      <c r="AC236" s="1786"/>
      <c r="AD236" s="1786"/>
      <c r="AE236" s="2258"/>
      <c r="AF236" s="1192"/>
      <c r="AG236" s="1192"/>
      <c r="AH236" s="1192"/>
      <c r="AI236" s="1192"/>
      <c r="AJ236" s="2267">
        <v>11</v>
      </c>
    </row>
    <row s="35197" customFormat="1" customHeight="1" ht="11.549999999999999">
      <c r="A237" s="1613"/>
      <c r="B237" s="2262"/>
      <c r="C237" s="2262"/>
      <c r="D237" s="977"/>
      <c r="J237" s="4642"/>
      <c r="K237" s="4642"/>
      <c r="L237" s="4642"/>
      <c r="M237" s="4642"/>
      <c r="O237" s="1786"/>
      <c r="P237" s="2262"/>
      <c r="Q237" s="2262"/>
      <c r="R237" s="1786"/>
      <c r="S237" s="1786"/>
      <c r="T237" s="1786"/>
      <c r="U237" s="1786"/>
      <c r="V237" s="2262"/>
      <c r="W237" s="1786"/>
      <c r="X237" s="1786"/>
      <c r="Y237" s="1170"/>
      <c r="Z237" s="1786"/>
      <c r="AA237" s="1786"/>
      <c r="AB237" s="1786"/>
      <c r="AC237" s="1786"/>
      <c r="AD237" s="1786"/>
      <c r="AE237" s="2258"/>
      <c r="AF237" s="1192"/>
      <c r="AG237" s="1192"/>
      <c r="AH237" s="1192"/>
      <c r="AI237" s="1192"/>
      <c r="AJ237" s="2267">
        <v>11</v>
      </c>
    </row>
    <row s="35197" customFormat="1" customHeight="1" ht="11.549999999999999">
      <c r="A238" s="1613"/>
      <c r="B238" s="2262"/>
      <c r="C238" s="2262"/>
      <c r="D238" s="977"/>
      <c r="J238" s="4642"/>
      <c r="K238" s="4642"/>
      <c r="L238" s="4642"/>
      <c r="M238" s="4642"/>
      <c r="O238" s="1786"/>
      <c r="P238" s="2262"/>
      <c r="Q238" s="2262"/>
      <c r="R238" s="1786"/>
      <c r="S238" s="1786"/>
      <c r="T238" s="1786"/>
      <c r="U238" s="1786"/>
      <c r="V238" s="2262"/>
      <c r="W238" s="1786"/>
      <c r="X238" s="1786"/>
      <c r="Y238" s="1170"/>
      <c r="Z238" s="1786"/>
      <c r="AA238" s="1786"/>
      <c r="AB238" s="1786"/>
      <c r="AC238" s="1786"/>
      <c r="AD238" s="1786"/>
      <c r="AE238" s="2258"/>
      <c r="AF238" s="1192"/>
      <c r="AG238" s="1192"/>
      <c r="AH238" s="1192"/>
      <c r="AI238" s="1192"/>
      <c r="AJ238" s="2267">
        <v>11</v>
      </c>
    </row>
    <row s="35197" customFormat="1" customHeight="1" ht="11.549999999999999">
      <c r="A239" s="1613"/>
      <c r="B239" s="2262"/>
      <c r="C239" s="2262"/>
      <c r="D239" s="977"/>
      <c r="J239" s="4642"/>
      <c r="K239" s="4642"/>
      <c r="L239" s="4642"/>
      <c r="M239" s="4642"/>
      <c r="O239" s="1786"/>
      <c r="P239" s="2262"/>
      <c r="Q239" s="2262"/>
      <c r="R239" s="1786"/>
      <c r="S239" s="1786"/>
      <c r="T239" s="1786"/>
      <c r="U239" s="1786"/>
      <c r="V239" s="2262"/>
      <c r="W239" s="1786"/>
      <c r="X239" s="1786"/>
      <c r="Y239" s="1170"/>
      <c r="Z239" s="1786"/>
      <c r="AA239" s="1786"/>
      <c r="AB239" s="1786"/>
      <c r="AC239" s="1786"/>
      <c r="AD239" s="1786"/>
      <c r="AE239" s="2258"/>
      <c r="AF239" s="1192"/>
      <c r="AG239" s="1192"/>
      <c r="AH239" s="1192"/>
      <c r="AI239" s="1192"/>
      <c r="AJ239" s="2267">
        <v>11</v>
      </c>
    </row>
    <row s="35197" customFormat="1" customHeight="1" ht="11.549999999999999">
      <c r="A240" s="1613"/>
      <c r="B240" s="2262"/>
      <c r="C240" s="2262"/>
      <c r="D240" s="977"/>
      <c r="J240" s="4642"/>
      <c r="K240" s="4642"/>
      <c r="L240" s="4642"/>
      <c r="M240" s="4642"/>
      <c r="O240" s="1786"/>
      <c r="P240" s="2262"/>
      <c r="Q240" s="2262"/>
      <c r="R240" s="1786"/>
      <c r="S240" s="1786"/>
      <c r="T240" s="1786"/>
      <c r="U240" s="1786"/>
      <c r="V240" s="2262"/>
      <c r="W240" s="1786"/>
      <c r="X240" s="1786"/>
      <c r="Y240" s="1170"/>
      <c r="Z240" s="1786"/>
      <c r="AA240" s="1786"/>
      <c r="AB240" s="1786"/>
      <c r="AC240" s="1786"/>
      <c r="AD240" s="1786"/>
      <c r="AE240" s="2258"/>
      <c r="AF240" s="1192"/>
      <c r="AG240" s="1192"/>
      <c r="AH240" s="1192"/>
      <c r="AI240" s="1192"/>
      <c r="AJ240" s="2267">
        <v>11</v>
      </c>
    </row>
    <row s="35197" customFormat="1" customHeight="1" ht="11.549999999999999">
      <c r="A241" s="1613"/>
      <c r="B241" s="2262"/>
      <c r="C241" s="2262"/>
      <c r="D241" s="977"/>
      <c r="J241" s="4642"/>
      <c r="K241" s="4642"/>
      <c r="L241" s="4642"/>
      <c r="M241" s="4642"/>
      <c r="O241" s="1786"/>
      <c r="P241" s="2262"/>
      <c r="Q241" s="2262"/>
      <c r="R241" s="1786"/>
      <c r="S241" s="1786"/>
      <c r="T241" s="1786"/>
      <c r="U241" s="1786"/>
      <c r="V241" s="2262"/>
      <c r="W241" s="1786"/>
      <c r="X241" s="1786"/>
      <c r="Y241" s="1170"/>
      <c r="Z241" s="1786"/>
      <c r="AA241" s="1786"/>
      <c r="AB241" s="1786"/>
      <c r="AC241" s="1786"/>
      <c r="AD241" s="1786"/>
      <c r="AE241" s="2258"/>
      <c r="AF241" s="1192"/>
      <c r="AG241" s="1192"/>
      <c r="AH241" s="1192"/>
      <c r="AI241" s="1192"/>
      <c r="AJ241" s="2267">
        <v>11</v>
      </c>
    </row>
    <row s="35197" customFormat="1" customHeight="1" ht="11.549999999999999">
      <c r="A242" s="1613"/>
      <c r="B242" s="2262"/>
      <c r="C242" s="2262"/>
      <c r="D242" s="977"/>
      <c r="J242" s="4642"/>
      <c r="K242" s="4642"/>
      <c r="L242" s="4642"/>
      <c r="M242" s="4642"/>
      <c r="O242" s="1786"/>
      <c r="P242" s="2262"/>
      <c r="Q242" s="2262"/>
      <c r="R242" s="1786"/>
      <c r="S242" s="1786"/>
      <c r="T242" s="1786"/>
      <c r="U242" s="1786"/>
      <c r="V242" s="2262"/>
      <c r="W242" s="1786"/>
      <c r="X242" s="1786"/>
      <c r="Y242" s="1170"/>
      <c r="Z242" s="1786"/>
      <c r="AA242" s="1786"/>
      <c r="AB242" s="1786"/>
      <c r="AC242" s="1786"/>
      <c r="AD242" s="1786"/>
      <c r="AE242" s="2258"/>
      <c r="AF242" s="1192"/>
      <c r="AG242" s="1192"/>
      <c r="AH242" s="1192"/>
      <c r="AI242" s="1192"/>
      <c r="AJ242" s="2267">
        <v>11</v>
      </c>
    </row>
    <row s="35197" customFormat="1" customHeight="1" ht="11.549999999999999">
      <c r="A243" s="1613"/>
      <c r="B243" s="2262"/>
      <c r="C243" s="2262"/>
      <c r="D243" s="977"/>
      <c r="J243" s="4642"/>
      <c r="K243" s="4642"/>
      <c r="L243" s="4642"/>
      <c r="M243" s="4642"/>
      <c r="O243" s="1786"/>
      <c r="P243" s="2262"/>
      <c r="Q243" s="2262"/>
      <c r="R243" s="1786"/>
      <c r="S243" s="1786"/>
      <c r="T243" s="1786"/>
      <c r="U243" s="1786"/>
      <c r="V243" s="2262"/>
      <c r="W243" s="1786"/>
      <c r="X243" s="1786"/>
      <c r="Y243" s="1170"/>
      <c r="Z243" s="1786"/>
      <c r="AA243" s="1786"/>
      <c r="AB243" s="1786"/>
      <c r="AC243" s="1786"/>
      <c r="AD243" s="1786"/>
      <c r="AE243" s="2258"/>
      <c r="AF243" s="1192"/>
      <c r="AG243" s="1192"/>
      <c r="AH243" s="1192"/>
      <c r="AI243" s="1192"/>
      <c r="AJ243" s="2267">
        <v>11</v>
      </c>
    </row>
    <row s="35197" customFormat="1" customHeight="1" ht="11.549999999999999">
      <c r="A244" s="1613"/>
      <c r="B244" s="2262"/>
      <c r="C244" s="2262"/>
      <c r="D244" s="977"/>
      <c r="J244" s="4642"/>
      <c r="K244" s="4642"/>
      <c r="L244" s="4642"/>
      <c r="M244" s="4642"/>
      <c r="O244" s="1786"/>
      <c r="P244" s="2262"/>
      <c r="Q244" s="2262"/>
      <c r="R244" s="1786"/>
      <c r="S244" s="1786"/>
      <c r="T244" s="1786"/>
      <c r="U244" s="1786"/>
      <c r="V244" s="2262"/>
      <c r="W244" s="1786"/>
      <c r="X244" s="1786"/>
      <c r="Y244" s="1170"/>
      <c r="Z244" s="1786"/>
      <c r="AA244" s="1786"/>
      <c r="AB244" s="1786"/>
      <c r="AC244" s="1786"/>
      <c r="AD244" s="1786"/>
      <c r="AE244" s="2258"/>
      <c r="AF244" s="1192"/>
      <c r="AG244" s="1192"/>
      <c r="AH244" s="1192"/>
      <c r="AI244" s="1192"/>
      <c r="AJ244" s="2267">
        <v>11</v>
      </c>
    </row>
    <row s="35197" customFormat="1" customHeight="1" ht="11.549999999999999">
      <c r="A245" s="1613"/>
      <c r="B245" s="2262"/>
      <c r="C245" s="2262"/>
      <c r="D245" s="977"/>
      <c r="J245" s="4642"/>
      <c r="K245" s="4642"/>
      <c r="L245" s="4642"/>
      <c r="M245" s="4642"/>
      <c r="O245" s="1786"/>
      <c r="P245" s="2262"/>
      <c r="Q245" s="2262"/>
      <c r="R245" s="1786"/>
      <c r="S245" s="1786"/>
      <c r="T245" s="1786"/>
      <c r="U245" s="1786"/>
      <c r="V245" s="2262"/>
      <c r="W245" s="1786"/>
      <c r="X245" s="1786"/>
      <c r="Y245" s="1170"/>
      <c r="Z245" s="1786"/>
      <c r="AA245" s="1786"/>
      <c r="AB245" s="1786"/>
      <c r="AC245" s="1786"/>
      <c r="AD245" s="1786"/>
      <c r="AE245" s="2258"/>
      <c r="AF245" s="1192"/>
      <c r="AG245" s="1192"/>
      <c r="AH245" s="1192"/>
      <c r="AI245" s="1192"/>
      <c r="AJ245" s="2267">
        <v>11</v>
      </c>
    </row>
    <row s="35197" customFormat="1" customHeight="1" ht="11.549999999999999">
      <c r="A246" s="1613"/>
      <c r="B246" s="2262"/>
      <c r="C246" s="2262"/>
      <c r="D246" s="977"/>
      <c r="J246" s="4642"/>
      <c r="K246" s="4642"/>
      <c r="L246" s="4642"/>
      <c r="M246" s="4642"/>
      <c r="O246" s="1786"/>
      <c r="P246" s="2262"/>
      <c r="Q246" s="2262"/>
      <c r="R246" s="1786"/>
      <c r="S246" s="1786"/>
      <c r="T246" s="1786"/>
      <c r="U246" s="1786"/>
      <c r="V246" s="2262"/>
      <c r="W246" s="1786"/>
      <c r="X246" s="1786"/>
      <c r="Y246" s="1170"/>
      <c r="Z246" s="1786"/>
      <c r="AA246" s="1786"/>
      <c r="AB246" s="1786"/>
      <c r="AC246" s="1786"/>
      <c r="AD246" s="1786"/>
      <c r="AE246" s="2258"/>
      <c r="AF246" s="1192"/>
      <c r="AG246" s="1192"/>
      <c r="AH246" s="1192"/>
      <c r="AI246" s="1192"/>
      <c r="AJ246" s="2267">
        <v>11</v>
      </c>
    </row>
    <row s="35197" customFormat="1" customHeight="1" ht="11.549999999999999">
      <c r="A247" s="1613"/>
      <c r="B247" s="2262"/>
      <c r="C247" s="2262"/>
      <c r="D247" s="977"/>
      <c r="J247" s="4642"/>
      <c r="K247" s="4642"/>
      <c r="L247" s="4642"/>
      <c r="M247" s="4642"/>
      <c r="O247" s="1786"/>
      <c r="P247" s="2262"/>
      <c r="Q247" s="2262"/>
      <c r="R247" s="1786"/>
      <c r="S247" s="1786"/>
      <c r="T247" s="1786"/>
      <c r="U247" s="1786"/>
      <c r="V247" s="2262"/>
      <c r="W247" s="1786"/>
      <c r="X247" s="1786"/>
      <c r="Y247" s="1170"/>
      <c r="Z247" s="1786"/>
      <c r="AA247" s="1786"/>
      <c r="AB247" s="1786"/>
      <c r="AC247" s="1786"/>
      <c r="AD247" s="1786"/>
      <c r="AE247" s="2258"/>
      <c r="AF247" s="1192"/>
      <c r="AG247" s="1192"/>
      <c r="AH247" s="1192"/>
      <c r="AI247" s="1192"/>
      <c r="AJ247" s="2267">
        <v>11</v>
      </c>
    </row>
    <row s="35197" customFormat="1" customHeight="1" ht="11.549999999999999">
      <c r="A248" s="1613"/>
      <c r="B248" s="2262"/>
      <c r="C248" s="2262"/>
      <c r="D248" s="977"/>
      <c r="J248" s="4642"/>
      <c r="K248" s="4642"/>
      <c r="L248" s="4642"/>
      <c r="M248" s="4642"/>
      <c r="O248" s="1786"/>
      <c r="P248" s="2262"/>
      <c r="Q248" s="2262"/>
      <c r="R248" s="1786"/>
      <c r="S248" s="1786"/>
      <c r="T248" s="1786"/>
      <c r="U248" s="1786"/>
      <c r="V248" s="2262"/>
      <c r="W248" s="1786"/>
      <c r="X248" s="1786"/>
      <c r="Y248" s="1170"/>
      <c r="Z248" s="1786"/>
      <c r="AA248" s="1786"/>
      <c r="AB248" s="1786"/>
      <c r="AC248" s="1786"/>
      <c r="AD248" s="1786"/>
      <c r="AE248" s="2258"/>
      <c r="AF248" s="1192"/>
      <c r="AG248" s="1192"/>
      <c r="AH248" s="1192"/>
      <c r="AI248" s="1192"/>
      <c r="AJ248" s="2267">
        <v>11</v>
      </c>
    </row>
    <row s="35197" customFormat="1" customHeight="1" ht="11.549999999999999">
      <c r="A249" s="1613"/>
      <c r="B249" s="2262"/>
      <c r="C249" s="2262"/>
      <c r="D249" s="977"/>
      <c r="J249" s="4642"/>
      <c r="K249" s="4642"/>
      <c r="L249" s="4642"/>
      <c r="M249" s="4642"/>
      <c r="O249" s="1786"/>
      <c r="P249" s="2262"/>
      <c r="Q249" s="2262"/>
      <c r="R249" s="1786"/>
      <c r="S249" s="1786"/>
      <c r="T249" s="1786"/>
      <c r="U249" s="1786"/>
      <c r="V249" s="2262"/>
      <c r="W249" s="1786"/>
      <c r="X249" s="1786"/>
      <c r="Y249" s="1170"/>
      <c r="Z249" s="1786"/>
      <c r="AA249" s="1786"/>
      <c r="AB249" s="1786"/>
      <c r="AC249" s="1786"/>
      <c r="AD249" s="1786"/>
      <c r="AE249" s="2258"/>
      <c r="AF249" s="1192"/>
      <c r="AG249" s="1192"/>
      <c r="AH249" s="1192"/>
      <c r="AI249" s="1192"/>
      <c r="AJ249" s="2267">
        <v>11</v>
      </c>
    </row>
    <row s="35197" customFormat="1" customHeight="1" ht="11.549999999999999">
      <c r="A250" s="1613"/>
      <c r="B250" s="2262"/>
      <c r="C250" s="2262"/>
      <c r="D250" s="977"/>
      <c r="J250" s="4642"/>
      <c r="K250" s="4642"/>
      <c r="L250" s="4642"/>
      <c r="M250" s="4642"/>
      <c r="O250" s="1786"/>
      <c r="P250" s="2262"/>
      <c r="Q250" s="2262"/>
      <c r="R250" s="1786"/>
      <c r="S250" s="1786"/>
      <c r="T250" s="1786"/>
      <c r="U250" s="1786"/>
      <c r="V250" s="2262"/>
      <c r="W250" s="1786"/>
      <c r="X250" s="1786"/>
      <c r="Y250" s="1170"/>
      <c r="Z250" s="1786"/>
      <c r="AA250" s="1786"/>
      <c r="AB250" s="1786"/>
      <c r="AC250" s="1786"/>
      <c r="AD250" s="1786"/>
      <c r="AE250" s="2258"/>
      <c r="AF250" s="1192"/>
      <c r="AG250" s="1192"/>
      <c r="AH250" s="1192"/>
      <c r="AI250" s="1192"/>
      <c r="AJ250" s="2267">
        <v>11</v>
      </c>
    </row>
    <row s="35197" customFormat="1" customHeight="1" ht="11.549999999999999">
      <c r="A251" s="1613"/>
      <c r="B251" s="2262"/>
      <c r="C251" s="2262"/>
      <c r="D251" s="977"/>
      <c r="J251" s="4642"/>
      <c r="K251" s="4642"/>
      <c r="L251" s="4642"/>
      <c r="M251" s="4642"/>
      <c r="O251" s="1786"/>
      <c r="P251" s="2262"/>
      <c r="Q251" s="2262"/>
      <c r="R251" s="1786"/>
      <c r="S251" s="1786"/>
      <c r="T251" s="1786"/>
      <c r="U251" s="1786"/>
      <c r="V251" s="2262"/>
      <c r="W251" s="1786"/>
      <c r="X251" s="1786"/>
      <c r="Y251" s="1170"/>
      <c r="Z251" s="1786"/>
      <c r="AA251" s="1786"/>
      <c r="AB251" s="1786"/>
      <c r="AC251" s="1786"/>
      <c r="AD251" s="1786"/>
      <c r="AE251" s="2258"/>
      <c r="AF251" s="1192"/>
      <c r="AG251" s="1192"/>
      <c r="AH251" s="1192"/>
      <c r="AI251" s="1192"/>
      <c r="AJ251" s="2267">
        <v>11</v>
      </c>
    </row>
    <row s="35197" customFormat="1" customHeight="1" ht="11.549999999999999">
      <c r="A252" s="1613"/>
      <c r="B252" s="2262"/>
      <c r="C252" s="2262"/>
      <c r="D252" s="977"/>
      <c r="J252" s="4642"/>
      <c r="K252" s="4642"/>
      <c r="L252" s="4642"/>
      <c r="M252" s="4642"/>
      <c r="O252" s="1786"/>
      <c r="P252" s="2262"/>
      <c r="Q252" s="2262"/>
      <c r="R252" s="1786"/>
      <c r="S252" s="1786"/>
      <c r="T252" s="1786"/>
      <c r="U252" s="1786"/>
      <c r="V252" s="2262"/>
      <c r="W252" s="1786"/>
      <c r="X252" s="1786"/>
      <c r="Y252" s="1170"/>
      <c r="Z252" s="1786"/>
      <c r="AA252" s="1786"/>
      <c r="AB252" s="1786"/>
      <c r="AC252" s="1786"/>
      <c r="AD252" s="1786"/>
      <c r="AE252" s="2258"/>
      <c r="AF252" s="1192"/>
      <c r="AG252" s="1192"/>
      <c r="AH252" s="1192"/>
      <c r="AI252" s="1192"/>
      <c r="AJ252" s="2267">
        <v>11</v>
      </c>
    </row>
    <row s="35197" customFormat="1" customHeight="1" ht="11.549999999999999">
      <c r="A253" s="1613"/>
      <c r="B253" s="2262"/>
      <c r="C253" s="2262"/>
      <c r="D253" s="977"/>
      <c r="J253" s="4642"/>
      <c r="K253" s="4642"/>
      <c r="L253" s="4642"/>
      <c r="M253" s="4642"/>
      <c r="O253" s="1786"/>
      <c r="P253" s="2262"/>
      <c r="Q253" s="2262"/>
      <c r="R253" s="1786"/>
      <c r="S253" s="1786"/>
      <c r="T253" s="1786"/>
      <c r="U253" s="1786"/>
      <c r="V253" s="2262"/>
      <c r="W253" s="1786"/>
      <c r="X253" s="1786"/>
      <c r="Y253" s="1170"/>
      <c r="Z253" s="1786"/>
      <c r="AA253" s="1786"/>
      <c r="AB253" s="1786"/>
      <c r="AC253" s="1786"/>
      <c r="AD253" s="1786"/>
      <c r="AE253" s="2258"/>
      <c r="AF253" s="1192"/>
      <c r="AG253" s="1192"/>
      <c r="AH253" s="1192"/>
      <c r="AI253" s="1192"/>
      <c r="AJ253" s="2267">
        <v>11</v>
      </c>
    </row>
    <row s="35197" customFormat="1" customHeight="1" ht="11.549999999999999">
      <c r="A254" s="1613"/>
      <c r="B254" s="2262"/>
      <c r="C254" s="2262"/>
      <c r="D254" s="977"/>
      <c r="J254" s="4642"/>
      <c r="K254" s="4642"/>
      <c r="L254" s="4642"/>
      <c r="M254" s="4642"/>
      <c r="O254" s="1786"/>
      <c r="P254" s="2262"/>
      <c r="Q254" s="2262"/>
      <c r="R254" s="1786"/>
      <c r="S254" s="1786"/>
      <c r="T254" s="1786"/>
      <c r="U254" s="1786"/>
      <c r="V254" s="2262"/>
      <c r="W254" s="1786"/>
      <c r="X254" s="1786"/>
      <c r="Y254" s="1170"/>
      <c r="Z254" s="1786"/>
      <c r="AA254" s="1786"/>
      <c r="AB254" s="1786"/>
      <c r="AC254" s="1786"/>
      <c r="AD254" s="1786"/>
      <c r="AE254" s="2258"/>
      <c r="AF254" s="1192"/>
      <c r="AG254" s="1192"/>
      <c r="AH254" s="1192"/>
      <c r="AI254" s="1192"/>
      <c r="AJ254" s="2267">
        <v>11</v>
      </c>
    </row>
    <row s="35197" customFormat="1" customHeight="1" ht="11.549999999999999">
      <c r="A255" s="1613"/>
      <c r="B255" s="2262"/>
      <c r="C255" s="2262"/>
      <c r="D255" s="977"/>
      <c r="J255" s="4642"/>
      <c r="K255" s="4642"/>
      <c r="L255" s="4642"/>
      <c r="M255" s="4642"/>
      <c r="O255" s="1786"/>
      <c r="P255" s="2262"/>
      <c r="Q255" s="2262"/>
      <c r="R255" s="1786"/>
      <c r="S255" s="1786"/>
      <c r="T255" s="1786"/>
      <c r="U255" s="1786"/>
      <c r="V255" s="2262"/>
      <c r="W255" s="1786"/>
      <c r="X255" s="1786"/>
      <c r="Y255" s="1170"/>
      <c r="Z255" s="1786"/>
      <c r="AA255" s="1786"/>
      <c r="AB255" s="1786"/>
      <c r="AC255" s="1786"/>
      <c r="AD255" s="1786"/>
      <c r="AE255" s="2258"/>
      <c r="AF255" s="1192"/>
      <c r="AG255" s="1192"/>
      <c r="AH255" s="1192"/>
      <c r="AI255" s="1192"/>
      <c r="AJ255" s="2267">
        <v>11</v>
      </c>
    </row>
    <row s="35197" customFormat="1" customHeight="1" ht="11.549999999999999">
      <c r="A256" s="1613"/>
      <c r="B256" s="2262"/>
      <c r="C256" s="2262"/>
      <c r="D256" s="977"/>
      <c r="J256" s="4642"/>
      <c r="K256" s="4642"/>
      <c r="L256" s="4642"/>
      <c r="M256" s="4642"/>
      <c r="O256" s="1786"/>
      <c r="P256" s="2262"/>
      <c r="Q256" s="2262"/>
      <c r="R256" s="1786"/>
      <c r="S256" s="1786"/>
      <c r="T256" s="1786"/>
      <c r="U256" s="1786"/>
      <c r="V256" s="2262"/>
      <c r="W256" s="1786"/>
      <c r="X256" s="1786"/>
      <c r="Y256" s="1170"/>
      <c r="Z256" s="1786"/>
      <c r="AA256" s="1786"/>
      <c r="AB256" s="1786"/>
      <c r="AC256" s="1786"/>
      <c r="AD256" s="1786"/>
      <c r="AE256" s="2258"/>
      <c r="AF256" s="1192"/>
      <c r="AG256" s="1192"/>
      <c r="AH256" s="1192"/>
      <c r="AI256" s="1192"/>
      <c r="AJ256" s="2267">
        <v>11</v>
      </c>
    </row>
    <row s="35197" customFormat="1" customHeight="1" ht="11.549999999999999">
      <c r="A257" s="1613"/>
      <c r="B257" s="2262"/>
      <c r="C257" s="2262"/>
      <c r="D257" s="977"/>
      <c r="J257" s="4642"/>
      <c r="K257" s="4642"/>
      <c r="L257" s="4642"/>
      <c r="M257" s="4642"/>
      <c r="O257" s="1786"/>
      <c r="P257" s="2262"/>
      <c r="Q257" s="2262"/>
      <c r="R257" s="1786"/>
      <c r="S257" s="1786"/>
      <c r="T257" s="1786"/>
      <c r="U257" s="1786"/>
      <c r="V257" s="2262"/>
      <c r="W257" s="1786"/>
      <c r="X257" s="1786"/>
      <c r="Y257" s="1170"/>
      <c r="Z257" s="1786"/>
      <c r="AA257" s="1786"/>
      <c r="AB257" s="1786"/>
      <c r="AC257" s="1786"/>
      <c r="AD257" s="1786"/>
      <c r="AE257" s="2258"/>
      <c r="AF257" s="1192"/>
      <c r="AG257" s="1192"/>
      <c r="AH257" s="1192"/>
      <c r="AI257" s="1192"/>
      <c r="AJ257" s="2267">
        <v>11</v>
      </c>
    </row>
    <row s="35197" customFormat="1" customHeight="1" ht="11.549999999999999">
      <c r="A258" s="1613"/>
      <c r="B258" s="2262"/>
      <c r="C258" s="2262"/>
      <c r="D258" s="977"/>
      <c r="J258" s="4642"/>
      <c r="K258" s="4642"/>
      <c r="L258" s="4642"/>
      <c r="M258" s="4642"/>
      <c r="O258" s="1786"/>
      <c r="P258" s="2262"/>
      <c r="Q258" s="2262"/>
      <c r="R258" s="1786"/>
      <c r="S258" s="1786"/>
      <c r="T258" s="1786"/>
      <c r="U258" s="1786"/>
      <c r="V258" s="2262"/>
      <c r="W258" s="1786"/>
      <c r="X258" s="1786"/>
      <c r="Y258" s="1170"/>
      <c r="Z258" s="1786"/>
      <c r="AA258" s="1786"/>
      <c r="AB258" s="1786"/>
      <c r="AC258" s="1786"/>
      <c r="AD258" s="1786"/>
      <c r="AE258" s="2258"/>
      <c r="AF258" s="1192"/>
      <c r="AG258" s="1192"/>
      <c r="AH258" s="1192"/>
      <c r="AI258" s="1192"/>
      <c r="AJ258" s="2267">
        <v>11</v>
      </c>
    </row>
    <row s="35197" customFormat="1" customHeight="1" ht="11.549999999999999">
      <c r="A259" s="1613"/>
      <c r="B259" s="2262"/>
      <c r="C259" s="2262"/>
      <c r="D259" s="977"/>
      <c r="J259" s="4642"/>
      <c r="K259" s="4642"/>
      <c r="L259" s="4642"/>
      <c r="M259" s="4642"/>
      <c r="O259" s="1786"/>
      <c r="P259" s="2262"/>
      <c r="Q259" s="2262"/>
      <c r="R259" s="1786"/>
      <c r="S259" s="1786"/>
      <c r="T259" s="1786"/>
      <c r="U259" s="1786"/>
      <c r="V259" s="2262"/>
      <c r="W259" s="1786"/>
      <c r="X259" s="1786"/>
      <c r="Y259" s="1170"/>
      <c r="Z259" s="1786"/>
      <c r="AA259" s="1786"/>
      <c r="AB259" s="1786"/>
      <c r="AC259" s="1786"/>
      <c r="AD259" s="1786"/>
      <c r="AE259" s="2258"/>
      <c r="AF259" s="1192"/>
      <c r="AG259" s="1192"/>
      <c r="AH259" s="1192"/>
      <c r="AI259" s="1192"/>
      <c r="AJ259" s="2267">
        <v>11</v>
      </c>
    </row>
    <row s="35197" customFormat="1" customHeight="1" ht="11.549999999999999">
      <c r="A260" s="1613"/>
      <c r="B260" s="2262"/>
      <c r="C260" s="2262"/>
      <c r="D260" s="977"/>
      <c r="J260" s="4642"/>
      <c r="K260" s="4642"/>
      <c r="L260" s="4642"/>
      <c r="M260" s="4642"/>
      <c r="O260" s="1786"/>
      <c r="P260" s="2262"/>
      <c r="Q260" s="2262"/>
      <c r="R260" s="1786"/>
      <c r="S260" s="1786"/>
      <c r="T260" s="1786"/>
      <c r="U260" s="1786"/>
      <c r="V260" s="2262"/>
      <c r="W260" s="1786"/>
      <c r="X260" s="1786"/>
      <c r="Y260" s="1170"/>
      <c r="Z260" s="1786"/>
      <c r="AA260" s="1786"/>
      <c r="AB260" s="1786"/>
      <c r="AC260" s="1786"/>
      <c r="AD260" s="1786"/>
      <c r="AE260" s="2258"/>
      <c r="AF260" s="1192"/>
      <c r="AG260" s="1192"/>
      <c r="AH260" s="1192"/>
      <c r="AI260" s="1192"/>
      <c r="AJ260" s="2267">
        <v>11</v>
      </c>
    </row>
    <row s="35197" customFormat="1" customHeight="1" ht="11.549999999999999">
      <c r="A261" s="1613"/>
      <c r="B261" s="2262"/>
      <c r="C261" s="2262"/>
      <c r="D261" s="977"/>
      <c r="J261" s="4642"/>
      <c r="K261" s="4642"/>
      <c r="L261" s="4642"/>
      <c r="M261" s="4642"/>
      <c r="O261" s="1786"/>
      <c r="P261" s="2262"/>
      <c r="Q261" s="2262"/>
      <c r="R261" s="1786"/>
      <c r="S261" s="1786"/>
      <c r="T261" s="1786"/>
      <c r="U261" s="1786"/>
      <c r="V261" s="2262"/>
      <c r="W261" s="1786"/>
      <c r="X261" s="1786"/>
      <c r="Y261" s="1170"/>
      <c r="Z261" s="1786"/>
      <c r="AA261" s="1786"/>
      <c r="AB261" s="1786"/>
      <c r="AC261" s="1786"/>
      <c r="AD261" s="1786"/>
      <c r="AE261" s="2258"/>
      <c r="AF261" s="1192"/>
      <c r="AG261" s="1192"/>
      <c r="AH261" s="1192"/>
      <c r="AI261" s="1192"/>
      <c r="AJ261" s="2267">
        <v>11</v>
      </c>
    </row>
    <row s="35197" customFormat="1" customHeight="1" ht="11.549999999999999">
      <c r="A262" s="1613"/>
      <c r="B262" s="2262"/>
      <c r="C262" s="2262"/>
      <c r="D262" s="977"/>
      <c r="J262" s="4642"/>
      <c r="K262" s="4642"/>
      <c r="L262" s="4642"/>
      <c r="M262" s="4642"/>
      <c r="O262" s="1786"/>
      <c r="P262" s="2262"/>
      <c r="Q262" s="2262"/>
      <c r="R262" s="1786"/>
      <c r="S262" s="1786"/>
      <c r="T262" s="1786"/>
      <c r="U262" s="1786"/>
      <c r="V262" s="2262"/>
      <c r="W262" s="1786"/>
      <c r="X262" s="1786"/>
      <c r="Y262" s="1170"/>
      <c r="Z262" s="1786"/>
      <c r="AA262" s="1786"/>
      <c r="AB262" s="1786"/>
      <c r="AC262" s="1786"/>
      <c r="AD262" s="1786"/>
      <c r="AE262" s="2258"/>
      <c r="AF262" s="1192"/>
      <c r="AG262" s="1192"/>
      <c r="AH262" s="1192"/>
      <c r="AI262" s="1192"/>
      <c r="AJ262" s="2267">
        <v>11</v>
      </c>
    </row>
    <row s="35197" customFormat="1" customHeight="1" ht="11.549999999999999">
      <c r="A263" s="1613"/>
      <c r="B263" s="2262"/>
      <c r="C263" s="2262"/>
      <c r="D263" s="977"/>
      <c r="J263" s="4642"/>
      <c r="K263" s="4642"/>
      <c r="L263" s="4642"/>
      <c r="M263" s="4642"/>
      <c r="O263" s="1786"/>
      <c r="P263" s="2262"/>
      <c r="Q263" s="2262"/>
      <c r="R263" s="1786"/>
      <c r="S263" s="1786"/>
      <c r="T263" s="1786"/>
      <c r="U263" s="1786"/>
      <c r="V263" s="2262"/>
      <c r="W263" s="1786"/>
      <c r="X263" s="1786"/>
      <c r="Y263" s="1170"/>
      <c r="Z263" s="1786"/>
      <c r="AA263" s="1786"/>
      <c r="AB263" s="1786"/>
      <c r="AC263" s="1786"/>
      <c r="AD263" s="1786"/>
      <c r="AE263" s="2258"/>
      <c r="AF263" s="1192"/>
      <c r="AG263" s="1192"/>
      <c r="AH263" s="1192"/>
      <c r="AI263" s="1192"/>
      <c r="AJ263" s="2267">
        <v>11</v>
      </c>
    </row>
    <row s="35197" customFormat="1" customHeight="1" ht="11.549999999999999">
      <c r="A264" s="1613"/>
      <c r="B264" s="2262"/>
      <c r="C264" s="2262"/>
      <c r="D264" s="977"/>
      <c r="J264" s="4642"/>
      <c r="K264" s="4642"/>
      <c r="L264" s="4642"/>
      <c r="M264" s="4642"/>
      <c r="O264" s="1786"/>
      <c r="P264" s="2262"/>
      <c r="Q264" s="2262"/>
      <c r="R264" s="1786"/>
      <c r="S264" s="1786"/>
      <c r="T264" s="1786"/>
      <c r="U264" s="1786"/>
      <c r="V264" s="2262"/>
      <c r="W264" s="1786"/>
      <c r="X264" s="1786"/>
      <c r="Y264" s="1170"/>
      <c r="Z264" s="1786"/>
      <c r="AA264" s="1786"/>
      <c r="AB264" s="1786"/>
      <c r="AC264" s="1786"/>
      <c r="AD264" s="1786"/>
      <c r="AE264" s="2258"/>
      <c r="AF264" s="1192"/>
      <c r="AG264" s="1192"/>
      <c r="AH264" s="1192"/>
      <c r="AI264" s="1192"/>
      <c r="AJ264" s="2267">
        <v>11</v>
      </c>
    </row>
    <row s="35197" customFormat="1" customHeight="1" ht="11.549999999999999">
      <c r="A265" s="1613"/>
      <c r="B265" s="2262"/>
      <c r="C265" s="2262"/>
      <c r="D265" s="977"/>
      <c r="J265" s="4642"/>
      <c r="K265" s="4642"/>
      <c r="L265" s="4642"/>
      <c r="M265" s="4642"/>
      <c r="O265" s="1786"/>
      <c r="P265" s="2262"/>
      <c r="Q265" s="2262"/>
      <c r="R265" s="1786"/>
      <c r="S265" s="1786"/>
      <c r="T265" s="1786"/>
      <c r="U265" s="1786"/>
      <c r="V265" s="2262"/>
      <c r="W265" s="1786"/>
      <c r="X265" s="1786"/>
      <c r="Y265" s="1170"/>
      <c r="Z265" s="1786"/>
      <c r="AA265" s="1786"/>
      <c r="AB265" s="1786"/>
      <c r="AC265" s="1786"/>
      <c r="AD265" s="1786"/>
      <c r="AE265" s="2258"/>
      <c r="AF265" s="1192"/>
      <c r="AG265" s="1192"/>
      <c r="AH265" s="1192"/>
      <c r="AI265" s="1192"/>
      <c r="AJ265" s="2267">
        <v>11</v>
      </c>
    </row>
    <row s="35197" customFormat="1" customHeight="1" ht="11.549999999999999">
      <c r="A266" s="1613"/>
      <c r="B266" s="2262"/>
      <c r="C266" s="2262"/>
      <c r="D266" s="977"/>
      <c r="J266" s="4642"/>
      <c r="K266" s="4642"/>
      <c r="L266" s="4642"/>
      <c r="M266" s="4642"/>
      <c r="O266" s="1786"/>
      <c r="P266" s="2262"/>
      <c r="Q266" s="2262"/>
      <c r="R266" s="1786"/>
      <c r="S266" s="1786"/>
      <c r="T266" s="1786"/>
      <c r="U266" s="1786"/>
      <c r="V266" s="2262"/>
      <c r="W266" s="1786"/>
      <c r="X266" s="1786"/>
      <c r="Y266" s="1170"/>
      <c r="Z266" s="1786"/>
      <c r="AA266" s="1786"/>
      <c r="AB266" s="1786"/>
      <c r="AC266" s="1786"/>
      <c r="AD266" s="1786"/>
      <c r="AE266" s="2258"/>
      <c r="AF266" s="1192"/>
      <c r="AG266" s="1192"/>
      <c r="AH266" s="1192"/>
      <c r="AI266" s="1192"/>
      <c r="AJ266" s="2267">
        <v>11</v>
      </c>
    </row>
    <row s="35197" customFormat="1" customHeight="1" ht="11.549999999999999">
      <c r="A267" s="1613"/>
      <c r="B267" s="2262"/>
      <c r="C267" s="2262"/>
      <c r="D267" s="977"/>
      <c r="J267" s="4642"/>
      <c r="K267" s="4642"/>
      <c r="L267" s="4642"/>
      <c r="M267" s="4642"/>
      <c r="O267" s="1786"/>
      <c r="P267" s="2262"/>
      <c r="Q267" s="2262"/>
      <c r="R267" s="1786"/>
      <c r="S267" s="1786"/>
      <c r="T267" s="1786"/>
      <c r="U267" s="1786"/>
      <c r="V267" s="2262"/>
      <c r="W267" s="1786"/>
      <c r="X267" s="1786"/>
      <c r="Y267" s="1170"/>
      <c r="Z267" s="1786"/>
      <c r="AA267" s="1786"/>
      <c r="AB267" s="1786"/>
      <c r="AC267" s="1786"/>
      <c r="AD267" s="1786"/>
      <c r="AE267" s="2258"/>
      <c r="AF267" s="1192"/>
      <c r="AG267" s="1192"/>
      <c r="AH267" s="1192"/>
      <c r="AI267" s="1192"/>
      <c r="AJ267" s="2267">
        <v>11</v>
      </c>
    </row>
    <row s="35197" customFormat="1" customHeight="1" ht="11.549999999999999">
      <c r="A268" s="1613"/>
      <c r="B268" s="2262"/>
      <c r="C268" s="2262"/>
      <c r="D268" s="977"/>
      <c r="J268" s="4642"/>
      <c r="K268" s="4642"/>
      <c r="L268" s="4642"/>
      <c r="M268" s="4642"/>
      <c r="O268" s="1786"/>
      <c r="P268" s="2262"/>
      <c r="Q268" s="2262"/>
      <c r="R268" s="1786"/>
      <c r="S268" s="1786"/>
      <c r="T268" s="1786"/>
      <c r="U268" s="1786"/>
      <c r="V268" s="2262"/>
      <c r="W268" s="1786"/>
      <c r="X268" s="1786"/>
      <c r="Y268" s="1170"/>
      <c r="Z268" s="1786"/>
      <c r="AA268" s="1786"/>
      <c r="AB268" s="1786"/>
      <c r="AC268" s="1786"/>
      <c r="AD268" s="1786"/>
      <c r="AE268" s="2258"/>
      <c r="AF268" s="1192"/>
      <c r="AG268" s="1192"/>
      <c r="AH268" s="1192"/>
      <c r="AI268" s="1192"/>
      <c r="AJ268" s="2267">
        <v>11</v>
      </c>
    </row>
    <row s="35197" customFormat="1" customHeight="1" ht="11.549999999999999">
      <c r="A269" s="1613"/>
      <c r="B269" s="2262"/>
      <c r="C269" s="2262"/>
      <c r="D269" s="977"/>
      <c r="J269" s="4642"/>
      <c r="K269" s="4642"/>
      <c r="L269" s="4642"/>
      <c r="M269" s="4642"/>
      <c r="O269" s="1786"/>
      <c r="P269" s="2262"/>
      <c r="Q269" s="2262"/>
      <c r="R269" s="1786"/>
      <c r="S269" s="1786"/>
      <c r="T269" s="1786"/>
      <c r="U269" s="1786"/>
      <c r="V269" s="2262"/>
      <c r="W269" s="1786"/>
      <c r="X269" s="1786"/>
      <c r="Y269" s="1170"/>
      <c r="Z269" s="1786"/>
      <c r="AA269" s="1786"/>
      <c r="AB269" s="1786"/>
      <c r="AC269" s="1786"/>
      <c r="AD269" s="1786"/>
      <c r="AE269" s="2258"/>
      <c r="AF269" s="1192"/>
      <c r="AG269" s="1192"/>
      <c r="AH269" s="1192"/>
      <c r="AI269" s="1192"/>
      <c r="AJ269" s="2267">
        <v>11</v>
      </c>
    </row>
    <row s="35197" customFormat="1" customHeight="1" ht="11.549999999999999">
      <c r="A270" s="1613"/>
      <c r="B270" s="2262"/>
      <c r="C270" s="2262"/>
      <c r="D270" s="977"/>
      <c r="J270" s="4642"/>
      <c r="K270" s="4642"/>
      <c r="L270" s="4642"/>
      <c r="M270" s="4642"/>
      <c r="O270" s="1786"/>
      <c r="P270" s="2262"/>
      <c r="Q270" s="2262"/>
      <c r="R270" s="1786"/>
      <c r="S270" s="1786"/>
      <c r="T270" s="1786"/>
      <c r="U270" s="1786"/>
      <c r="V270" s="2262"/>
      <c r="W270" s="1786"/>
      <c r="X270" s="1786"/>
      <c r="Y270" s="1170"/>
      <c r="Z270" s="1786"/>
      <c r="AA270" s="1786"/>
      <c r="AB270" s="1786"/>
      <c r="AC270" s="1786"/>
      <c r="AD270" s="1786"/>
      <c r="AE270" s="2258"/>
      <c r="AF270" s="1192"/>
      <c r="AG270" s="1192"/>
      <c r="AH270" s="1192"/>
      <c r="AI270" s="1192"/>
      <c r="AJ270" s="2267">
        <v>11</v>
      </c>
    </row>
    <row s="35197" customFormat="1" customHeight="1" ht="11.549999999999999">
      <c r="A271" s="1613"/>
      <c r="B271" s="2262"/>
      <c r="C271" s="2262"/>
      <c r="D271" s="977"/>
      <c r="J271" s="4642"/>
      <c r="K271" s="4642"/>
      <c r="L271" s="4642"/>
      <c r="M271" s="4642"/>
      <c r="O271" s="1786"/>
      <c r="P271" s="2262"/>
      <c r="Q271" s="2262"/>
      <c r="R271" s="1786"/>
      <c r="S271" s="1786"/>
      <c r="T271" s="1786"/>
      <c r="U271" s="1786"/>
      <c r="V271" s="2262"/>
      <c r="W271" s="1786"/>
      <c r="X271" s="1786"/>
      <c r="Y271" s="1170"/>
      <c r="Z271" s="1786"/>
      <c r="AA271" s="1786"/>
      <c r="AB271" s="1786"/>
      <c r="AC271" s="1786"/>
      <c r="AD271" s="1786"/>
      <c r="AE271" s="2258"/>
      <c r="AF271" s="1192"/>
      <c r="AG271" s="1192"/>
      <c r="AH271" s="1192"/>
      <c r="AI271" s="1192"/>
      <c r="AJ271" s="2267">
        <v>11</v>
      </c>
    </row>
    <row s="35197" customFormat="1" customHeight="1" ht="11.549999999999999">
      <c r="A272" s="1613"/>
      <c r="B272" s="2262"/>
      <c r="C272" s="2262"/>
      <c r="D272" s="977"/>
      <c r="J272" s="4642"/>
      <c r="K272" s="4642"/>
      <c r="L272" s="4642"/>
      <c r="M272" s="4642"/>
      <c r="O272" s="1786"/>
      <c r="P272" s="2262"/>
      <c r="Q272" s="2262"/>
      <c r="R272" s="1786"/>
      <c r="S272" s="1786"/>
      <c r="T272" s="1786"/>
      <c r="U272" s="1786"/>
      <c r="V272" s="2262"/>
      <c r="W272" s="1786"/>
      <c r="X272" s="1786"/>
      <c r="Y272" s="1170"/>
      <c r="Z272" s="1786"/>
      <c r="AA272" s="1786"/>
      <c r="AB272" s="1786"/>
      <c r="AC272" s="1786"/>
      <c r="AD272" s="1786"/>
      <c r="AE272" s="2258"/>
      <c r="AF272" s="1192"/>
      <c r="AG272" s="1192"/>
      <c r="AH272" s="1192"/>
      <c r="AI272" s="1192"/>
      <c r="AJ272" s="2267">
        <v>11</v>
      </c>
    </row>
    <row s="35197" customFormat="1" customHeight="1" ht="11.549999999999999">
      <c r="A273" s="1613"/>
      <c r="B273" s="2262"/>
      <c r="C273" s="2262"/>
      <c r="D273" s="977"/>
      <c r="J273" s="4642"/>
      <c r="K273" s="4642"/>
      <c r="L273" s="4642"/>
      <c r="M273" s="4642"/>
      <c r="O273" s="1786"/>
      <c r="P273" s="2262"/>
      <c r="Q273" s="2262"/>
      <c r="R273" s="1786"/>
      <c r="S273" s="1786"/>
      <c r="T273" s="1786"/>
      <c r="U273" s="1786"/>
      <c r="V273" s="2262"/>
      <c r="W273" s="1786"/>
      <c r="X273" s="1786"/>
      <c r="Y273" s="1170"/>
      <c r="Z273" s="1786"/>
      <c r="AA273" s="1786"/>
      <c r="AB273" s="1786"/>
      <c r="AC273" s="1786"/>
      <c r="AD273" s="1786"/>
      <c r="AE273" s="2258"/>
      <c r="AF273" s="1192"/>
      <c r="AG273" s="1192"/>
      <c r="AH273" s="1192"/>
      <c r="AI273" s="1192"/>
      <c r="AJ273" s="2267">
        <v>11</v>
      </c>
    </row>
    <row s="35197" customFormat="1" customHeight="1" ht="11.549999999999999">
      <c r="A274" s="1613"/>
      <c r="B274" s="2262"/>
      <c r="C274" s="2262"/>
      <c r="D274" s="977"/>
      <c r="J274" s="4642"/>
      <c r="K274" s="4642"/>
      <c r="L274" s="4642"/>
      <c r="M274" s="4642"/>
      <c r="O274" s="1786"/>
      <c r="P274" s="2262"/>
      <c r="Q274" s="2262"/>
      <c r="R274" s="1786"/>
      <c r="S274" s="1786"/>
      <c r="T274" s="1786"/>
      <c r="U274" s="1786"/>
      <c r="V274" s="2262"/>
      <c r="W274" s="1786"/>
      <c r="X274" s="1786"/>
      <c r="Y274" s="1170"/>
      <c r="Z274" s="1786"/>
      <c r="AA274" s="1786"/>
      <c r="AB274" s="1786"/>
      <c r="AC274" s="1786"/>
      <c r="AD274" s="1786"/>
      <c r="AE274" s="2258"/>
      <c r="AF274" s="1192"/>
      <c r="AG274" s="1192"/>
      <c r="AH274" s="1192"/>
      <c r="AI274" s="1192"/>
      <c r="AJ274" s="2267">
        <v>11</v>
      </c>
    </row>
    <row s="35197" customFormat="1" customHeight="1" ht="11.549999999999999">
      <c r="A275" s="1613"/>
      <c r="B275" s="2262"/>
      <c r="C275" s="2262"/>
      <c r="D275" s="977"/>
      <c r="J275" s="4642"/>
      <c r="K275" s="4642"/>
      <c r="L275" s="4642"/>
      <c r="M275" s="4642"/>
      <c r="O275" s="1786"/>
      <c r="P275" s="2262"/>
      <c r="Q275" s="2262"/>
      <c r="R275" s="1786"/>
      <c r="S275" s="1786"/>
      <c r="T275" s="1786"/>
      <c r="U275" s="1786"/>
      <c r="V275" s="2262"/>
      <c r="W275" s="1786"/>
      <c r="X275" s="1786"/>
      <c r="Y275" s="1170"/>
      <c r="Z275" s="1786"/>
      <c r="AA275" s="1786"/>
      <c r="AB275" s="1786"/>
      <c r="AC275" s="1786"/>
      <c r="AD275" s="1786"/>
      <c r="AE275" s="2258"/>
      <c r="AF275" s="1192"/>
      <c r="AG275" s="1192"/>
      <c r="AH275" s="1192"/>
      <c r="AI275" s="1192"/>
      <c r="AJ275" s="2267">
        <v>11</v>
      </c>
    </row>
    <row s="35197" customFormat="1" customHeight="1" ht="11.549999999999999">
      <c r="A276" s="1613"/>
      <c r="B276" s="2262"/>
      <c r="C276" s="2262"/>
      <c r="D276" s="977"/>
      <c r="J276" s="4642"/>
      <c r="K276" s="4642"/>
      <c r="L276" s="4642"/>
      <c r="M276" s="4642"/>
      <c r="O276" s="1786"/>
      <c r="P276" s="2262"/>
      <c r="Q276" s="2262"/>
      <c r="R276" s="1786"/>
      <c r="S276" s="1786"/>
      <c r="T276" s="1786"/>
      <c r="U276" s="1786"/>
      <c r="V276" s="2262"/>
      <c r="W276" s="1786"/>
      <c r="X276" s="1786"/>
      <c r="Y276" s="1170"/>
      <c r="Z276" s="1786"/>
      <c r="AA276" s="1786"/>
      <c r="AB276" s="1786"/>
      <c r="AC276" s="1786"/>
      <c r="AD276" s="1786"/>
      <c r="AE276" s="2258"/>
      <c r="AF276" s="1192"/>
      <c r="AG276" s="1192"/>
      <c r="AH276" s="1192"/>
      <c r="AI276" s="1192"/>
      <c r="AJ276" s="2267">
        <v>11</v>
      </c>
    </row>
    <row s="35197" customFormat="1" customHeight="1" ht="11.549999999999999">
      <c r="A277" s="1613"/>
      <c r="B277" s="2262"/>
      <c r="C277" s="2262"/>
      <c r="D277" s="977"/>
      <c r="J277" s="4642"/>
      <c r="K277" s="4642"/>
      <c r="L277" s="4642"/>
      <c r="M277" s="4642"/>
      <c r="O277" s="1786"/>
      <c r="P277" s="2262"/>
      <c r="Q277" s="2262"/>
      <c r="R277" s="1786"/>
      <c r="S277" s="1786"/>
      <c r="T277" s="1786"/>
      <c r="U277" s="1786"/>
      <c r="V277" s="2262"/>
      <c r="W277" s="1786"/>
      <c r="X277" s="1786"/>
      <c r="Y277" s="1170"/>
      <c r="Z277" s="1786"/>
      <c r="AA277" s="1786"/>
      <c r="AB277" s="1786"/>
      <c r="AC277" s="1786"/>
      <c r="AD277" s="1786"/>
      <c r="AE277" s="2258"/>
      <c r="AF277" s="1192"/>
      <c r="AG277" s="1192"/>
      <c r="AH277" s="1192"/>
      <c r="AI277" s="1192"/>
      <c r="AJ277" s="2267">
        <v>11</v>
      </c>
    </row>
    <row s="35197" customFormat="1" customHeight="1" ht="11.549999999999999">
      <c r="A278" s="1613"/>
      <c r="B278" s="2262"/>
      <c r="C278" s="2262"/>
      <c r="D278" s="977"/>
      <c r="J278" s="4642"/>
      <c r="K278" s="4642"/>
      <c r="L278" s="4642"/>
      <c r="M278" s="4642"/>
      <c r="O278" s="1786"/>
      <c r="P278" s="2262"/>
      <c r="Q278" s="2262"/>
      <c r="R278" s="1786"/>
      <c r="S278" s="1786"/>
      <c r="T278" s="1786"/>
      <c r="U278" s="1786"/>
      <c r="V278" s="2262"/>
      <c r="W278" s="1786"/>
      <c r="X278" s="1786"/>
      <c r="Y278" s="1170"/>
      <c r="Z278" s="1786"/>
      <c r="AA278" s="1786"/>
      <c r="AB278" s="1786"/>
      <c r="AC278" s="1786"/>
      <c r="AD278" s="1786"/>
      <c r="AE278" s="2258"/>
      <c r="AF278" s="1192"/>
      <c r="AG278" s="1192"/>
      <c r="AH278" s="1192"/>
      <c r="AI278" s="1192"/>
      <c r="AJ278" s="2267">
        <v>11</v>
      </c>
    </row>
    <row s="35197" customFormat="1" customHeight="1" ht="11.549999999999999">
      <c r="A279" s="1613"/>
      <c r="B279" s="2262"/>
      <c r="C279" s="2262"/>
      <c r="D279" s="977"/>
      <c r="J279" s="4642"/>
      <c r="K279" s="4642"/>
      <c r="L279" s="4642"/>
      <c r="M279" s="4642"/>
      <c r="O279" s="1786"/>
      <c r="P279" s="2262"/>
      <c r="Q279" s="2262"/>
      <c r="R279" s="1786"/>
      <c r="S279" s="1786"/>
      <c r="T279" s="1786"/>
      <c r="U279" s="1786"/>
      <c r="V279" s="2262"/>
      <c r="W279" s="1786"/>
      <c r="X279" s="1786"/>
      <c r="Y279" s="1170"/>
      <c r="Z279" s="1786"/>
      <c r="AA279" s="1786"/>
      <c r="AB279" s="1786"/>
      <c r="AC279" s="1786"/>
      <c r="AD279" s="1786"/>
      <c r="AE279" s="2258"/>
      <c r="AF279" s="1192"/>
      <c r="AG279" s="1192"/>
      <c r="AH279" s="1192"/>
      <c r="AI279" s="1192"/>
      <c r="AJ279" s="2267">
        <v>11</v>
      </c>
    </row>
    <row s="35197" customFormat="1" customHeight="1" ht="11.549999999999999">
      <c r="A280" s="1613"/>
      <c r="B280" s="2262"/>
      <c r="C280" s="2262"/>
      <c r="D280" s="977"/>
      <c r="J280" s="4642"/>
      <c r="K280" s="4642"/>
      <c r="L280" s="4642"/>
      <c r="M280" s="4642"/>
      <c r="O280" s="1786"/>
      <c r="P280" s="2262"/>
      <c r="Q280" s="2262"/>
      <c r="R280" s="1786"/>
      <c r="S280" s="1786"/>
      <c r="T280" s="1786"/>
      <c r="U280" s="1786"/>
      <c r="V280" s="2262"/>
      <c r="W280" s="1786"/>
      <c r="X280" s="1786"/>
      <c r="Y280" s="1170"/>
      <c r="Z280" s="1786"/>
      <c r="AA280" s="1786"/>
      <c r="AB280" s="1786"/>
      <c r="AC280" s="1786"/>
      <c r="AD280" s="1786"/>
      <c r="AE280" s="2258"/>
      <c r="AF280" s="1192"/>
      <c r="AG280" s="1192"/>
      <c r="AH280" s="1192"/>
      <c r="AI280" s="1192"/>
      <c r="AJ280" s="2267">
        <v>11</v>
      </c>
    </row>
    <row s="35197" customFormat="1" customHeight="1" ht="11.549999999999999">
      <c r="A281" s="1613"/>
      <c r="B281" s="2262"/>
      <c r="C281" s="2262"/>
      <c r="D281" s="977"/>
      <c r="J281" s="4642"/>
      <c r="K281" s="4642"/>
      <c r="L281" s="4642"/>
      <c r="M281" s="4642"/>
      <c r="O281" s="1786"/>
      <c r="P281" s="2262"/>
      <c r="Q281" s="2262"/>
      <c r="R281" s="1786"/>
      <c r="S281" s="1786"/>
      <c r="T281" s="1786"/>
      <c r="U281" s="1786"/>
      <c r="V281" s="2262"/>
      <c r="W281" s="1786"/>
      <c r="X281" s="1786"/>
      <c r="Y281" s="1170"/>
      <c r="Z281" s="1786"/>
      <c r="AA281" s="1786"/>
      <c r="AB281" s="1786"/>
      <c r="AC281" s="1786"/>
      <c r="AD281" s="1786"/>
      <c r="AE281" s="2258"/>
      <c r="AF281" s="1192"/>
      <c r="AG281" s="1192"/>
      <c r="AH281" s="1192"/>
      <c r="AI281" s="1192"/>
      <c r="AJ281" s="2267">
        <v>11</v>
      </c>
    </row>
    <row s="35197" customFormat="1" customHeight="1" ht="11.549999999999999">
      <c r="A282" s="1613"/>
      <c r="B282" s="2262"/>
      <c r="C282" s="2262"/>
      <c r="D282" s="977"/>
      <c r="J282" s="4642"/>
      <c r="K282" s="4642"/>
      <c r="L282" s="4642"/>
      <c r="M282" s="4642"/>
      <c r="O282" s="1786"/>
      <c r="P282" s="2262"/>
      <c r="Q282" s="2262"/>
      <c r="R282" s="1786"/>
      <c r="S282" s="1786"/>
      <c r="T282" s="1786"/>
      <c r="U282" s="1786"/>
      <c r="V282" s="2262"/>
      <c r="W282" s="1786"/>
      <c r="X282" s="1786"/>
      <c r="Y282" s="1170"/>
      <c r="Z282" s="1786"/>
      <c r="AA282" s="1786"/>
      <c r="AB282" s="1786"/>
      <c r="AC282" s="1786"/>
      <c r="AD282" s="1786"/>
      <c r="AE282" s="2258"/>
      <c r="AF282" s="1192"/>
      <c r="AG282" s="1192"/>
      <c r="AH282" s="1192"/>
      <c r="AI282" s="1192"/>
      <c r="AJ282" s="2267">
        <v>11</v>
      </c>
    </row>
    <row s="35197" customFormat="1" customHeight="1" ht="11.549999999999999">
      <c r="A283" s="1613"/>
      <c r="B283" s="2262"/>
      <c r="C283" s="2262"/>
      <c r="D283" s="977"/>
      <c r="J283" s="4642"/>
      <c r="K283" s="4642"/>
      <c r="L283" s="4642"/>
      <c r="M283" s="4642"/>
      <c r="O283" s="1786"/>
      <c r="P283" s="2262"/>
      <c r="Q283" s="2262"/>
      <c r="R283" s="1786"/>
      <c r="S283" s="1786"/>
      <c r="T283" s="1786"/>
      <c r="U283" s="1786"/>
      <c r="V283" s="2262"/>
      <c r="W283" s="1786"/>
      <c r="X283" s="1786"/>
      <c r="Y283" s="1170"/>
      <c r="Z283" s="1786"/>
      <c r="AA283" s="1786"/>
      <c r="AB283" s="1786"/>
      <c r="AC283" s="1786"/>
      <c r="AD283" s="1786"/>
      <c r="AE283" s="2258"/>
      <c r="AF283" s="1192"/>
      <c r="AG283" s="1192"/>
      <c r="AH283" s="1192"/>
      <c r="AI283" s="1192"/>
      <c r="AJ283" s="2267">
        <v>11</v>
      </c>
    </row>
    <row s="35197" customFormat="1" customHeight="1" ht="11.549999999999999">
      <c r="A284" s="1613"/>
      <c r="B284" s="2262"/>
      <c r="C284" s="2262"/>
      <c r="D284" s="977"/>
      <c r="J284" s="4642"/>
      <c r="K284" s="4642"/>
      <c r="L284" s="4642"/>
      <c r="M284" s="4642"/>
      <c r="O284" s="1786"/>
      <c r="P284" s="2262"/>
      <c r="Q284" s="2262"/>
      <c r="R284" s="1786"/>
      <c r="S284" s="1786"/>
      <c r="T284" s="1786"/>
      <c r="U284" s="1786"/>
      <c r="V284" s="2262"/>
      <c r="W284" s="1786"/>
      <c r="X284" s="1786"/>
      <c r="Y284" s="1170"/>
      <c r="Z284" s="1786"/>
      <c r="AA284" s="1786"/>
      <c r="AB284" s="1786"/>
      <c r="AC284" s="1786"/>
      <c r="AD284" s="1786"/>
      <c r="AE284" s="2258"/>
      <c r="AF284" s="1192"/>
      <c r="AG284" s="1192"/>
      <c r="AH284" s="1192"/>
      <c r="AI284" s="1192"/>
      <c r="AJ284" s="2267">
        <v>11</v>
      </c>
    </row>
    <row s="35197" customFormat="1" customHeight="1" ht="11.549999999999999">
      <c r="A285" s="1613"/>
      <c r="B285" s="2262"/>
      <c r="C285" s="2262"/>
      <c r="D285" s="977"/>
      <c r="J285" s="4642"/>
      <c r="K285" s="4642"/>
      <c r="L285" s="4642"/>
      <c r="M285" s="4642"/>
      <c r="O285" s="1786"/>
      <c r="P285" s="2262"/>
      <c r="Q285" s="2262"/>
      <c r="R285" s="1786"/>
      <c r="S285" s="1786"/>
      <c r="T285" s="1786"/>
      <c r="U285" s="1786"/>
      <c r="V285" s="2262"/>
      <c r="W285" s="1786"/>
      <c r="X285" s="1786"/>
      <c r="Y285" s="1170"/>
      <c r="Z285" s="1786"/>
      <c r="AA285" s="1786"/>
      <c r="AB285" s="1786"/>
      <c r="AC285" s="1786"/>
      <c r="AD285" s="1786"/>
      <c r="AE285" s="2258"/>
      <c r="AF285" s="1192"/>
      <c r="AG285" s="1192"/>
      <c r="AH285" s="1192"/>
      <c r="AI285" s="1192"/>
      <c r="AJ285" s="2267">
        <v>11</v>
      </c>
    </row>
    <row s="35197" customFormat="1" customHeight="1" ht="11.549999999999999">
      <c r="A286" s="1613"/>
      <c r="B286" s="2262"/>
      <c r="C286" s="2262"/>
      <c r="D286" s="977"/>
      <c r="J286" s="4642"/>
      <c r="K286" s="4642"/>
      <c r="L286" s="4642"/>
      <c r="M286" s="4642"/>
      <c r="O286" s="1786"/>
      <c r="P286" s="2262"/>
      <c r="Q286" s="2262"/>
      <c r="R286" s="1786"/>
      <c r="S286" s="1786"/>
      <c r="T286" s="1786"/>
      <c r="U286" s="1786"/>
      <c r="V286" s="2262"/>
      <c r="W286" s="1786"/>
      <c r="X286" s="1786"/>
      <c r="Y286" s="1170"/>
      <c r="Z286" s="1786"/>
      <c r="AA286" s="1786"/>
      <c r="AB286" s="1786"/>
      <c r="AC286" s="1786"/>
      <c r="AD286" s="1786"/>
      <c r="AE286" s="2258"/>
      <c r="AF286" s="1192"/>
      <c r="AG286" s="1192"/>
      <c r="AH286" s="1192"/>
      <c r="AI286" s="1192"/>
      <c r="AJ286" s="2267">
        <v>11</v>
      </c>
    </row>
    <row s="35197" customFormat="1" customHeight="1" ht="11.549999999999999">
      <c r="A287" s="1613"/>
      <c r="B287" s="2262"/>
      <c r="C287" s="2262"/>
      <c r="D287" s="977"/>
      <c r="J287" s="4642"/>
      <c r="K287" s="4642"/>
      <c r="L287" s="4642"/>
      <c r="M287" s="4642"/>
      <c r="O287" s="1786"/>
      <c r="P287" s="2262"/>
      <c r="Q287" s="2262"/>
      <c r="R287" s="1786"/>
      <c r="S287" s="1786"/>
      <c r="T287" s="1786"/>
      <c r="U287" s="1786"/>
      <c r="V287" s="2262"/>
      <c r="W287" s="1786"/>
      <c r="X287" s="1786"/>
      <c r="Y287" s="1170"/>
      <c r="Z287" s="1786"/>
      <c r="AA287" s="1786"/>
      <c r="AB287" s="1786"/>
      <c r="AC287" s="1786"/>
      <c r="AD287" s="1786"/>
      <c r="AE287" s="2258"/>
      <c r="AF287" s="1192"/>
      <c r="AG287" s="1192"/>
      <c r="AH287" s="1192"/>
      <c r="AI287" s="1192"/>
      <c r="AJ287" s="2267">
        <v>11</v>
      </c>
    </row>
    <row s="35197" customFormat="1" customHeight="1" ht="11.549999999999999">
      <c r="A288" s="1613"/>
      <c r="B288" s="2262"/>
      <c r="C288" s="2262"/>
      <c r="D288" s="977"/>
      <c r="J288" s="4642"/>
      <c r="K288" s="4642"/>
      <c r="L288" s="4642"/>
      <c r="M288" s="4642"/>
      <c r="O288" s="1786"/>
      <c r="P288" s="2262"/>
      <c r="Q288" s="2262"/>
      <c r="R288" s="1786"/>
      <c r="S288" s="1786"/>
      <c r="T288" s="1786"/>
      <c r="U288" s="1786"/>
      <c r="V288" s="2262"/>
      <c r="W288" s="1786"/>
      <c r="X288" s="1786"/>
      <c r="Y288" s="1170"/>
      <c r="Z288" s="1786"/>
      <c r="AA288" s="1786"/>
      <c r="AB288" s="1786"/>
      <c r="AC288" s="1786"/>
      <c r="AD288" s="1786"/>
      <c r="AE288" s="2258"/>
      <c r="AF288" s="1192"/>
      <c r="AG288" s="1192"/>
      <c r="AH288" s="1192"/>
      <c r="AI288" s="1192"/>
      <c r="AJ288" s="2267">
        <v>11</v>
      </c>
    </row>
    <row customHeight="1" ht="11.549999999999999">
      <c r="J289" s="4469"/>
      <c r="K289" s="4469"/>
      <c r="L289" s="4469"/>
      <c r="M289" s="4469"/>
      <c r="AJ289" s="2257">
        <v>11</v>
      </c>
    </row>
    <row customHeight="1" ht="11.549999999999999">
      <c r="J290" s="4469"/>
      <c r="K290" s="4469"/>
      <c r="L290" s="4469"/>
      <c r="M290" s="4469"/>
      <c r="AJ290" s="2257">
        <v>11</v>
      </c>
    </row>
    <row customHeight="1" ht="11.549999999999999">
      <c r="J291" s="4469"/>
      <c r="K291" s="4469"/>
      <c r="L291" s="4469"/>
      <c r="M291" s="4469"/>
      <c r="AJ291" s="2257">
        <v>11</v>
      </c>
    </row>
    <row customHeight="1" ht="11.549999999999999">
      <c r="A292" s="1616"/>
      <c r="B292" s="2257"/>
      <c r="D292" s="2257"/>
      <c r="J292" s="4469"/>
      <c r="K292" s="4469"/>
      <c r="L292" s="4469"/>
      <c r="M292" s="4469"/>
      <c r="O292" s="2257"/>
      <c r="R292" s="2257"/>
      <c r="S292" s="2257"/>
      <c r="T292" s="2257"/>
      <c r="U292" s="2257"/>
      <c r="W292" s="2257"/>
      <c r="X292" s="2257"/>
      <c r="Y292" s="2257"/>
      <c r="Z292" s="2257"/>
      <c r="AA292" s="2257"/>
      <c r="AB292" s="2257"/>
      <c r="AC292" s="2257"/>
      <c r="AD292" s="2257"/>
      <c r="AE292" s="2257"/>
      <c r="AF292" s="2257"/>
      <c r="AG292" s="2257"/>
      <c r="AH292" s="2257"/>
      <c r="AI292" s="2257"/>
      <c r="AJ292" s="2257">
        <v>11</v>
      </c>
    </row>
    <row customHeight="1" ht="11.549999999999999">
      <c r="A293" s="1616"/>
      <c r="B293" s="2257"/>
      <c r="D293" s="2257"/>
      <c r="J293" s="4469"/>
      <c r="K293" s="4469"/>
      <c r="L293" s="4469"/>
      <c r="M293" s="4469"/>
      <c r="O293" s="2257"/>
      <c r="R293" s="2257"/>
      <c r="S293" s="2257"/>
      <c r="T293" s="2257"/>
      <c r="U293" s="2257"/>
      <c r="W293" s="2257"/>
      <c r="X293" s="2257"/>
      <c r="Y293" s="2257"/>
      <c r="Z293" s="2257"/>
      <c r="AA293" s="2257"/>
      <c r="AB293" s="2257"/>
      <c r="AC293" s="2257"/>
      <c r="AD293" s="2257"/>
      <c r="AE293" s="2257"/>
      <c r="AF293" s="2257"/>
      <c r="AG293" s="2257"/>
      <c r="AH293" s="2257"/>
      <c r="AI293" s="2257"/>
      <c r="AJ293" s="2257">
        <v>11</v>
      </c>
    </row>
    <row customHeight="1" ht="11.549999999999999">
      <c r="A294" s="1616"/>
      <c r="B294" s="2257"/>
      <c r="D294" s="2257"/>
      <c r="J294" s="4469"/>
      <c r="K294" s="4469"/>
      <c r="L294" s="4469"/>
      <c r="M294" s="4469"/>
      <c r="O294" s="2257"/>
      <c r="R294" s="2257"/>
      <c r="S294" s="2257"/>
      <c r="T294" s="2257"/>
      <c r="U294" s="2257"/>
      <c r="W294" s="2257"/>
      <c r="X294" s="2257"/>
      <c r="Y294" s="2257"/>
      <c r="Z294" s="2257"/>
      <c r="AA294" s="2257"/>
      <c r="AB294" s="2257"/>
      <c r="AC294" s="2257"/>
      <c r="AD294" s="2257"/>
      <c r="AE294" s="2257"/>
      <c r="AF294" s="2257"/>
      <c r="AG294" s="2257"/>
      <c r="AH294" s="2257"/>
      <c r="AI294" s="2257"/>
      <c r="AJ294" s="2257">
        <v>11</v>
      </c>
    </row>
    <row customHeight="1" ht="11.549999999999999">
      <c r="A295" s="1616"/>
      <c r="B295" s="2257"/>
      <c r="D295" s="2257"/>
      <c r="J295" s="4469"/>
      <c r="K295" s="4469"/>
      <c r="L295" s="4469"/>
      <c r="M295" s="4469"/>
      <c r="O295" s="2257"/>
      <c r="R295" s="2257"/>
      <c r="S295" s="2257"/>
      <c r="T295" s="2257"/>
      <c r="U295" s="2257"/>
      <c r="W295" s="2257"/>
      <c r="X295" s="2257"/>
      <c r="Y295" s="2257"/>
      <c r="Z295" s="2257"/>
      <c r="AA295" s="2257"/>
      <c r="AB295" s="2257"/>
      <c r="AC295" s="2257"/>
      <c r="AD295" s="2257"/>
      <c r="AE295" s="2257"/>
      <c r="AF295" s="2257"/>
      <c r="AG295" s="2257"/>
      <c r="AH295" s="2257"/>
      <c r="AI295" s="2257"/>
      <c r="AJ295" s="2257">
        <v>11</v>
      </c>
    </row>
    <row customHeight="1" ht="11.549999999999999">
      <c r="A296" s="1616"/>
      <c r="B296" s="2257"/>
      <c r="D296" s="2257"/>
      <c r="J296" s="4469"/>
      <c r="K296" s="4469"/>
      <c r="L296" s="4469"/>
      <c r="M296" s="4469"/>
      <c r="O296" s="2257"/>
      <c r="R296" s="2257"/>
      <c r="S296" s="2257"/>
      <c r="T296" s="2257"/>
      <c r="U296" s="2257"/>
      <c r="W296" s="2257"/>
      <c r="X296" s="2257"/>
      <c r="Y296" s="2257"/>
      <c r="Z296" s="2257"/>
      <c r="AA296" s="2257"/>
      <c r="AB296" s="2257"/>
      <c r="AC296" s="2257"/>
      <c r="AD296" s="2257"/>
      <c r="AE296" s="2257"/>
      <c r="AF296" s="2257"/>
      <c r="AG296" s="2257"/>
      <c r="AH296" s="2257"/>
      <c r="AI296" s="2257"/>
      <c r="AJ296" s="2257">
        <v>11</v>
      </c>
    </row>
    <row customHeight="1" ht="11.549999999999999">
      <c r="A297" s="1616"/>
      <c r="B297" s="2257"/>
      <c r="D297" s="2257"/>
      <c r="J297" s="4469"/>
      <c r="K297" s="4469"/>
      <c r="L297" s="4469"/>
      <c r="M297" s="4469"/>
      <c r="O297" s="2257"/>
      <c r="R297" s="2257"/>
      <c r="S297" s="2257"/>
      <c r="T297" s="2257"/>
      <c r="U297" s="2257"/>
      <c r="W297" s="2257"/>
      <c r="X297" s="2257"/>
      <c r="Y297" s="2257"/>
      <c r="Z297" s="2257"/>
      <c r="AA297" s="2257"/>
      <c r="AB297" s="2257"/>
      <c r="AC297" s="2257"/>
      <c r="AD297" s="2257"/>
      <c r="AE297" s="2257"/>
      <c r="AF297" s="2257"/>
      <c r="AG297" s="2257"/>
      <c r="AH297" s="2257"/>
      <c r="AI297" s="2257"/>
      <c r="AJ297" s="2257">
        <v>11</v>
      </c>
    </row>
    <row customHeight="1" ht="11.549999999999999">
      <c r="A298" s="1616"/>
      <c r="B298" s="2257"/>
      <c r="D298" s="2257"/>
      <c r="J298" s="4469"/>
      <c r="K298" s="4469"/>
      <c r="L298" s="4469"/>
      <c r="M298" s="4469"/>
      <c r="O298" s="2257"/>
      <c r="R298" s="2257"/>
      <c r="S298" s="2257"/>
      <c r="T298" s="2257"/>
      <c r="U298" s="2257"/>
      <c r="W298" s="2257"/>
      <c r="X298" s="2257"/>
      <c r="Y298" s="2257"/>
      <c r="Z298" s="2257"/>
      <c r="AA298" s="2257"/>
      <c r="AB298" s="2257"/>
      <c r="AC298" s="2257"/>
      <c r="AD298" s="2257"/>
      <c r="AE298" s="2257"/>
      <c r="AF298" s="2257"/>
      <c r="AG298" s="2257"/>
      <c r="AH298" s="2257"/>
      <c r="AI298" s="2257"/>
      <c r="AJ298" s="2257">
        <v>11</v>
      </c>
    </row>
    <row customHeight="1" ht="11.549999999999999">
      <c r="A299" s="1616"/>
      <c r="B299" s="2257"/>
      <c r="D299" s="2257"/>
      <c r="J299" s="4469"/>
      <c r="K299" s="4469"/>
      <c r="L299" s="4469"/>
      <c r="M299" s="4469"/>
      <c r="O299" s="2257"/>
      <c r="R299" s="2257"/>
      <c r="S299" s="2257"/>
      <c r="T299" s="2257"/>
      <c r="U299" s="2257"/>
      <c r="W299" s="2257"/>
      <c r="X299" s="2257"/>
      <c r="Y299" s="2257"/>
      <c r="Z299" s="2257"/>
      <c r="AA299" s="2257"/>
      <c r="AB299" s="2257"/>
      <c r="AC299" s="2257"/>
      <c r="AD299" s="2257"/>
      <c r="AE299" s="2257"/>
      <c r="AF299" s="2257"/>
      <c r="AG299" s="2257"/>
      <c r="AH299" s="2257"/>
      <c r="AI299" s="2257"/>
      <c r="AJ299" s="2257">
        <v>11</v>
      </c>
    </row>
    <row customHeight="1" ht="11.549999999999999">
      <c r="A300" s="1616"/>
      <c r="B300" s="2257"/>
      <c r="D300" s="2257"/>
      <c r="J300" s="4469"/>
      <c r="K300" s="4469"/>
      <c r="L300" s="4469"/>
      <c r="M300" s="4469"/>
      <c r="O300" s="2257"/>
      <c r="R300" s="2257"/>
      <c r="S300" s="2257"/>
      <c r="T300" s="2257"/>
      <c r="U300" s="2257"/>
      <c r="W300" s="2257"/>
      <c r="X300" s="2257"/>
      <c r="Y300" s="2257"/>
      <c r="Z300" s="2257"/>
      <c r="AA300" s="2257"/>
      <c r="AB300" s="2257"/>
      <c r="AC300" s="2257"/>
      <c r="AD300" s="2257"/>
      <c r="AE300" s="2257"/>
      <c r="AF300" s="2257"/>
      <c r="AG300" s="2257"/>
      <c r="AH300" s="2257"/>
      <c r="AI300" s="2257"/>
      <c r="AJ300" s="2257">
        <v>11</v>
      </c>
    </row>
    <row customHeight="1" ht="11.549999999999999">
      <c r="A301" s="1616"/>
      <c r="B301" s="2257"/>
      <c r="D301" s="2257"/>
      <c r="J301" s="4469"/>
      <c r="K301" s="4469"/>
      <c r="L301" s="4469"/>
      <c r="M301" s="4469"/>
      <c r="O301" s="2257"/>
      <c r="R301" s="2257"/>
      <c r="S301" s="2257"/>
      <c r="T301" s="2257"/>
      <c r="U301" s="2257"/>
      <c r="W301" s="2257"/>
      <c r="X301" s="2257"/>
      <c r="Y301" s="2257"/>
      <c r="Z301" s="2257"/>
      <c r="AA301" s="2257"/>
      <c r="AB301" s="2257"/>
      <c r="AC301" s="2257"/>
      <c r="AD301" s="2257"/>
      <c r="AE301" s="2257"/>
      <c r="AF301" s="2257"/>
      <c r="AG301" s="2257"/>
      <c r="AH301" s="2257"/>
      <c r="AI301" s="2257"/>
      <c r="AJ301" s="2257">
        <v>11</v>
      </c>
    </row>
    <row customHeight="1" ht="11.549999999999999">
      <c r="A302" s="1616"/>
      <c r="B302" s="2257"/>
      <c r="D302" s="2257"/>
      <c r="J302" s="4469"/>
      <c r="K302" s="4469"/>
      <c r="L302" s="4469"/>
      <c r="M302" s="4469"/>
      <c r="O302" s="2257"/>
      <c r="R302" s="2257"/>
      <c r="S302" s="2257"/>
      <c r="T302" s="2257"/>
      <c r="U302" s="2257"/>
      <c r="W302" s="2257"/>
      <c r="X302" s="2257"/>
      <c r="Y302" s="2257"/>
      <c r="Z302" s="2257"/>
      <c r="AA302" s="2257"/>
      <c r="AB302" s="2257"/>
      <c r="AC302" s="2257"/>
      <c r="AD302" s="2257"/>
      <c r="AE302" s="2257"/>
      <c r="AF302" s="2257"/>
      <c r="AG302" s="2257"/>
      <c r="AH302" s="2257"/>
      <c r="AI302" s="2257"/>
      <c r="AJ302" s="2257">
        <v>11</v>
      </c>
    </row>
    <row customHeight="1" ht="11.25" hidden="1">
      <c r="A303" s="1613" t="s">
        <v>82</v>
      </c>
      <c r="B303" s="1786">
        <v>0</v>
      </c>
      <c r="C303" s="2262">
        <v>0</v>
      </c>
      <c r="D303" s="2261">
        <v>3</v>
      </c>
      <c r="E303" s="2257">
        <v>7</v>
      </c>
      <c r="F303" s="2257">
        <v>54</v>
      </c>
      <c r="G303" s="2257">
        <v>10</v>
      </c>
      <c r="H303" s="2257">
        <v>0</v>
      </c>
      <c r="I303" s="2257">
        <v>40</v>
      </c>
      <c r="J303" s="4469">
        <v>0</v>
      </c>
      <c r="K303" s="4469">
        <v>0</v>
      </c>
      <c r="L303" s="4469">
        <v>0</v>
      </c>
      <c r="M303" s="4469">
        <v>0</v>
      </c>
      <c r="N303" s="2257">
        <v>102</v>
      </c>
      <c r="O303" s="1786">
        <v>9</v>
      </c>
      <c r="P303" s="2262">
        <v>5</v>
      </c>
      <c r="Q303" s="2262">
        <v>3</v>
      </c>
      <c r="R303" s="1786">
        <v>3</v>
      </c>
      <c r="S303" s="1786">
        <v>3</v>
      </c>
      <c r="T303" s="1786">
        <v>3</v>
      </c>
      <c r="U303" s="1786">
        <v>3</v>
      </c>
      <c r="V303" s="2262">
        <v>10</v>
      </c>
      <c r="W303" s="1786">
        <v>34</v>
      </c>
      <c r="X303" s="1786">
        <v>9</v>
      </c>
      <c r="Y303" s="1170">
        <v>8</v>
      </c>
      <c r="Z303" s="1786">
        <v>8</v>
      </c>
      <c r="AA303" s="1786">
        <v>8</v>
      </c>
      <c r="AB303" s="1786">
        <v>8</v>
      </c>
      <c r="AC303" s="1786">
        <v>8</v>
      </c>
      <c r="AD303" s="1786">
        <v>8</v>
      </c>
      <c r="AE303" s="2258">
        <v>8</v>
      </c>
      <c r="AF303" s="2258">
        <v>8</v>
      </c>
      <c r="AG303" s="2258">
        <v>8</v>
      </c>
      <c r="AH303" s="2258">
        <v>8</v>
      </c>
      <c r="AI303" s="2258">
        <v>8</v>
      </c>
      <c r="AJ303" s="2257">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N25:N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M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M70">
      <formula1>900</formula1>
    </dataValidation>
    <dataValidation type="textLength" operator="lessThanOrEqual" allowBlank="1" showInputMessage="1" showErrorMessage="1" errorTitle="Ошибка" error="Допускается ввод не более 900 символов!" sqref="G4 H34:M34 H39:M39">
      <formula1>900</formula1>
    </dataValidation>
    <dataValidation type="decimal" allowBlank="1" showErrorMessage="1" errorTitle="Ошибка" error="Допускается ввод только неотрицательных чисел!" sqref="H67:M67 H69:M69 H91:M94 H127:M127 H30:M30 H32:M33 H35:M38 H40:M65 H82:M86 H17:M17 H9:M13 H15:M15 H96:M119 H74:M74 H88:M89 H4:M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M130 H81:M81">
      <formula1>900</formula1>
    </dataValidation>
    <dataValidation type="decimal" allowBlank="1" showErrorMessage="1" errorTitle="Ошибка" error="Допускается ввод только действительных чисел!" sqref="H72:M73">
      <formula1>-9.99999999999999E+23</formula1>
      <formula2>9.99999999999999E+23</formula2>
    </dataValidation>
    <dataValidation type="decimal" allowBlank="1" showErrorMessage="1" errorTitle="Ошибка" error="Допускается ввод только действительных чисел!" sqref="H123:M123 H120:M120 H126:M126 H75:M80">
      <formula1>-9.99999999999999E+37</formula1>
      <formula2>9.99999999999999E+37</formula2>
    </dataValidation>
    <dataValidation type="decimal" allowBlank="1" showErrorMessage="1" errorTitle="Ошибка" error="Введите значение от 0 до 100%" sqref="H90:M90 H95:M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M68 H66:M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4D9FF5-8709-7D8B-0A55-DD5C7DD04178}" mc:Ignorable="x14ac xr xr2 xr3">
  <sheetPr>
    <tabColor theme="9" tint="-0.25"/>
  </sheetPr>
  <dimension ref="A1:CF65"/>
  <sheetViews>
    <sheetView topLeftCell="A1" showGridLines="0" zoomScale="90" workbookViewId="0">
      <selection activeCell="A50" sqref="A50:CF58"/>
    </sheetView>
  </sheetViews>
  <sheetFormatPr defaultColWidth="9.140625" customHeight="1" defaultRowHeight="11.25"/>
  <cols>
    <col min="1" max="1" style="36004" width="14.7109375" hidden="1" customWidth="1"/>
    <col min="2" max="2" style="34544" width="17.00390625" hidden="1" customWidth="1"/>
    <col min="3" max="3" style="34580" width="3.00390625" customWidth="1"/>
    <col min="4" max="4" style="34580" width="1.8515625" hidden="1" customWidth="1"/>
    <col min="5" max="6" style="34580" width="7.00390625" customWidth="1"/>
    <col min="7" max="7" style="34580" width="29.00390625" customWidth="1"/>
    <col min="8" max="8" style="34580" width="3.7109375" customWidth="1"/>
    <col min="9" max="9" style="34580" width="5.00390625" customWidth="1"/>
    <col min="10" max="11" style="34580" width="24.00390625" customWidth="1"/>
    <col min="12" max="12" style="34580" width="3.00390625" customWidth="1"/>
    <col min="13" max="13" style="34580" width="6.00390625" customWidth="1"/>
    <col min="14" max="14" style="34580" width="25.00390625" customWidth="1"/>
    <col min="15" max="18" style="34580" width="18.00390625" customWidth="1"/>
    <col min="19" max="19" style="34580" width="93.00390625" customWidth="1"/>
    <col min="20" max="20" style="34580" width="10.00390625" customWidth="1"/>
    <col min="21" max="21" style="34658" width="10.00390625" customWidth="1"/>
    <col min="22" max="22" style="34658" width="11.00390625" customWidth="1"/>
    <col min="23" max="27" style="34544" width="10.00390625" customWidth="1"/>
    <col min="28" max="83" style="34580" width="8.00390625" customWidth="1"/>
    <col min="84" max="84" style="34580" width="9.140625" hidden="1"/>
  </cols>
  <sheetData>
    <row customHeight="1" ht="22.5" hidden="1">
      <c r="CF1" s="1131" t="s">
        <v>14</v>
      </c>
    </row>
    <row customHeight="1" ht="11.25" hidden="1">
      <c r="CF2" s="1131">
        <v>0</v>
      </c>
    </row>
    <row customHeight="1" ht="11.25" hidden="1">
      <c r="CF3" s="1131">
        <v>0</v>
      </c>
    </row>
    <row customHeight="1" ht="3">
      <c r="C4" s="1135"/>
      <c r="D4" s="1135"/>
      <c r="E4" s="1135"/>
      <c r="F4" s="1135"/>
      <c r="G4" s="1135"/>
      <c r="H4" s="1135"/>
      <c r="I4" s="1135"/>
      <c r="J4" s="1135"/>
      <c r="K4" s="792"/>
      <c r="L4" s="792"/>
      <c r="M4" s="792"/>
      <c r="CF4" s="1131">
        <v>3</v>
      </c>
    </row>
    <row customHeight="1" ht="29.25">
      <c r="C5" s="1135"/>
      <c r="D5" s="1683"/>
      <c r="E5" s="2863" t="str">
        <f>FHD20_NAME_FORM</f>
        <v>Форма 11. Информация о расходах на капитальный и текущий ремонт основных средств</v>
      </c>
      <c r="F5" s="2863"/>
      <c r="G5" s="2863"/>
      <c r="H5" s="2863"/>
      <c r="I5" s="2863"/>
      <c r="J5" s="2863"/>
      <c r="K5" s="2863"/>
      <c r="L5" s="1239"/>
      <c r="M5" s="1239"/>
      <c r="CF5" s="1131">
        <v>28</v>
      </c>
    </row>
    <row s="34580" customFormat="1" customHeight="1" ht="16.8">
      <c r="A6" s="1236"/>
      <c r="B6" s="1385"/>
      <c r="C6" s="1135"/>
      <c r="D6" s="1684"/>
      <c r="E6" s="2802" t="str">
        <f>IF(org=0,"Не определено",org)</f>
        <v>АО "ДГК"</v>
      </c>
      <c r="F6" s="2802"/>
      <c r="G6" s="2802"/>
      <c r="H6" s="2802"/>
      <c r="I6" s="2802"/>
      <c r="J6" s="2802"/>
      <c r="K6" s="2802"/>
      <c r="L6" s="1239"/>
      <c r="M6" s="1239"/>
      <c r="U6" s="1237"/>
      <c r="V6" s="1237"/>
      <c r="W6" s="1238"/>
      <c r="X6" s="1385"/>
      <c r="Y6" s="1385"/>
      <c r="Z6" s="1385"/>
      <c r="AA6" s="1385"/>
      <c r="CF6" s="1384">
        <v>16</v>
      </c>
    </row>
    <row customHeight="1" ht="11.549999999999999">
      <c r="C7" s="1135"/>
      <c r="D7" s="1135"/>
      <c r="E7" s="1135"/>
      <c r="F7" s="1135"/>
      <c r="G7" s="1148"/>
      <c r="H7" s="1148"/>
      <c r="I7" s="1148"/>
      <c r="J7" s="1148"/>
      <c r="K7" s="1240"/>
      <c r="L7" s="1240"/>
      <c r="M7" s="1240"/>
      <c r="R7" s="1378"/>
      <c r="CF7" s="1131">
        <v>11</v>
      </c>
    </row>
    <row s="35197" customFormat="1" customHeight="1" ht="4.2">
      <c r="A8" s="1247"/>
      <c r="B8" s="1192"/>
      <c r="C8" s="977"/>
      <c r="D8" s="977"/>
      <c r="E8" s="977"/>
      <c r="F8" s="977"/>
      <c r="G8" s="1601"/>
      <c r="H8" s="1601"/>
      <c r="I8" s="1601"/>
      <c r="J8" s="1601"/>
      <c r="K8" s="1644"/>
      <c r="L8" s="1644"/>
      <c r="M8" s="1644"/>
      <c r="R8" s="1645"/>
      <c r="U8" s="1237"/>
      <c r="V8" s="1237"/>
      <c r="W8" s="1248"/>
      <c r="X8" s="1192"/>
      <c r="Y8" s="1192"/>
      <c r="Z8" s="1192"/>
      <c r="AA8" s="1192"/>
      <c r="CF8" s="1122">
        <v>4</v>
      </c>
    </row>
    <row customHeight="1" ht="19.95">
      <c r="D9" s="915"/>
      <c r="E9" s="2727" t="s">
        <v>318</v>
      </c>
      <c r="F9" s="2728"/>
      <c r="G9" s="2728"/>
      <c r="H9" s="2728"/>
      <c r="I9" s="2728"/>
      <c r="J9" s="2728"/>
      <c r="K9" s="2728"/>
      <c r="L9" s="2728"/>
      <c r="M9" s="2728"/>
      <c r="N9" s="2728"/>
      <c r="O9" s="2728"/>
      <c r="P9" s="2728"/>
      <c r="Q9" s="2728"/>
      <c r="R9" s="2729"/>
      <c r="S9" s="2753" t="s">
        <v>319</v>
      </c>
      <c r="T9" s="960"/>
      <c r="CF9" s="1131">
        <v>19</v>
      </c>
    </row>
    <row customHeight="1" ht="48.29999999999999">
      <c r="D10" s="1177" t="s">
        <v>88</v>
      </c>
      <c r="E10" s="2753" t="s">
        <v>88</v>
      </c>
      <c r="F10" s="2753"/>
      <c r="G10" s="1147" t="s">
        <v>320</v>
      </c>
      <c r="H10" s="2753" t="s">
        <v>88</v>
      </c>
      <c r="I10" s="2753"/>
      <c r="J10" s="1147" t="s">
        <v>620</v>
      </c>
      <c r="K10" s="1147" t="s">
        <v>621</v>
      </c>
      <c r="L10" s="2753" t="s">
        <v>88</v>
      </c>
      <c r="M10" s="2753"/>
      <c r="N10" s="1147" t="s">
        <v>622</v>
      </c>
      <c r="O10" s="1147" t="s">
        <v>623</v>
      </c>
      <c r="P10" s="1147" t="s">
        <v>624</v>
      </c>
      <c r="Q10" s="1147" t="s">
        <v>625</v>
      </c>
      <c r="R10" s="1147" t="s">
        <v>626</v>
      </c>
      <c r="S10" s="2753"/>
      <c r="T10" s="960"/>
      <c r="CF10" s="1131">
        <v>46</v>
      </c>
    </row>
    <row s="34658" customFormat="1" customHeight="1" ht="15" hidden="1">
      <c r="A11" s="1678"/>
      <c r="D11" s="1651" t="s">
        <v>118</v>
      </c>
      <c r="E11" s="1651"/>
      <c r="F11" s="1651" t="s">
        <v>102</v>
      </c>
      <c r="G11" s="1651" t="s">
        <v>90</v>
      </c>
      <c r="H11" s="1651"/>
      <c r="I11" s="1651" t="s">
        <v>91</v>
      </c>
      <c r="J11" s="1651" t="s">
        <v>119</v>
      </c>
      <c r="K11" s="1651" t="s">
        <v>92</v>
      </c>
      <c r="L11" s="1651"/>
      <c r="M11" s="1651" t="s">
        <v>93</v>
      </c>
      <c r="N11" s="1651" t="s">
        <v>120</v>
      </c>
      <c r="O11" s="1651" t="s">
        <v>168</v>
      </c>
      <c r="P11" s="1651" t="s">
        <v>169</v>
      </c>
      <c r="Q11" s="1651" t="s">
        <v>170</v>
      </c>
      <c r="R11" s="1651" t="s">
        <v>171</v>
      </c>
      <c r="S11" s="1651" t="s">
        <v>172</v>
      </c>
      <c r="U11" s="1237"/>
      <c r="V11" s="1237"/>
      <c r="W11" s="1237"/>
      <c r="CF11" s="1137">
        <v>0</v>
      </c>
    </row>
    <row s="34580" customFormat="1" customHeight="1" ht="1.05">
      <c r="A12" s="1241"/>
      <c r="B12" s="988"/>
      <c r="D12" s="1174"/>
      <c r="E12" s="972"/>
      <c r="F12" s="972"/>
      <c r="Q12" s="1242"/>
      <c r="R12" s="1243"/>
      <c r="T12" s="1244"/>
      <c r="U12" s="1245"/>
      <c r="V12" s="1245"/>
      <c r="W12" s="1246"/>
      <c r="X12" s="988"/>
      <c r="Y12" s="988"/>
      <c r="Z12" s="988"/>
      <c r="AA12" s="988"/>
      <c r="CF12" s="1135">
        <v>1</v>
      </c>
    </row>
    <row s="35197" customFormat="1" customHeight="1" ht="1.05">
      <c r="A13" s="1247"/>
      <c r="B13" s="1192"/>
      <c r="D13" s="1174" t="s">
        <v>394</v>
      </c>
      <c r="E13" s="1186"/>
      <c r="F13" s="1186"/>
      <c r="G13" s="1186"/>
      <c r="H13" s="1186"/>
      <c r="I13" s="1186"/>
      <c r="J13" s="1186"/>
      <c r="K13" s="1186"/>
      <c r="L13" s="1186"/>
      <c r="M13" s="1186"/>
      <c r="N13" s="1186"/>
      <c r="O13" s="1186"/>
      <c r="P13" s="1186"/>
      <c r="Q13" s="1186"/>
      <c r="R13" s="1186"/>
      <c r="T13" s="960"/>
      <c r="U13" s="1237"/>
      <c r="V13" s="1237"/>
      <c r="W13" s="1248"/>
      <c r="X13" s="1192"/>
      <c r="Y13" s="1192"/>
      <c r="Z13" s="1192"/>
      <c r="AA13" s="1192"/>
      <c r="CF13" s="1122">
        <v>1</v>
      </c>
    </row>
    <row s="34718" customFormat="1" customHeight="1" ht="15" hidden="1">
      <c r="A14" s="1249" t="s">
        <v>126</v>
      </c>
      <c r="B14" s="1250"/>
      <c r="C14" s="1250"/>
      <c r="D14" s="3006" t="s">
        <v>118</v>
      </c>
      <c r="E14" s="3003" t="s">
        <v>114</v>
      </c>
      <c r="F14" s="3004"/>
      <c r="G14" s="3005"/>
      <c r="H14" s="3009"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I14" s="3009"/>
      <c r="J14" s="3009"/>
      <c r="K14" s="3009"/>
      <c r="L14" s="3009"/>
      <c r="M14" s="3009"/>
      <c r="N14" s="3009"/>
      <c r="O14" s="3009"/>
      <c r="P14" s="3009"/>
      <c r="Q14" s="3009"/>
      <c r="R14" s="3009"/>
      <c r="S14" s="1345"/>
      <c r="T14" s="1342"/>
      <c r="U14" s="1251"/>
      <c r="V14" s="1251"/>
      <c r="W14" s="1252"/>
      <c r="X14" s="1252"/>
      <c r="Y14" s="1252"/>
      <c r="Z14" s="1252"/>
      <c r="AA14" s="1253"/>
      <c r="AB14" s="1254"/>
      <c r="AC14" s="3001"/>
      <c r="AD14" s="1255"/>
      <c r="AE14" s="1256" t="s">
        <v>22</v>
      </c>
      <c r="AF14" s="1256"/>
      <c r="AG14" s="1257" t="s">
        <v>627</v>
      </c>
      <c r="AH14" s="1258">
        <v>3</v>
      </c>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2"/>
      <c r="BW14" s="1252"/>
      <c r="BX14" s="1252"/>
      <c r="BY14" s="1252"/>
      <c r="BZ14" s="1252"/>
      <c r="CA14" s="1252"/>
      <c r="CB14" s="1252"/>
      <c r="CC14" s="1252"/>
      <c r="CD14" s="1252"/>
      <c r="CE14" s="1252"/>
      <c r="CF14" s="919">
        <v>0</v>
      </c>
    </row>
    <row s="34718" customFormat="1" customHeight="1" ht="15" hidden="1">
      <c r="A15" s="1249"/>
      <c r="B15" s="1250"/>
      <c r="C15" s="1250"/>
      <c r="D15" s="3007"/>
      <c r="E15" s="3003" t="s">
        <v>582</v>
      </c>
      <c r="F15" s="3004"/>
      <c r="G15" s="3005"/>
      <c r="H15" s="3009" t="str">
        <f>IF(A14="","",INDEX(DIFFERENTIATION_UNMERGE_AREA,MATCH(A14,DIFFERENTIATION_ID_DIFF,0)))</f>
        <v>Территория 1</v>
      </c>
      <c r="I15" s="3009"/>
      <c r="J15" s="3009"/>
      <c r="K15" s="3009"/>
      <c r="L15" s="3009"/>
      <c r="M15" s="3009"/>
      <c r="N15" s="3009"/>
      <c r="O15" s="3009"/>
      <c r="P15" s="3009"/>
      <c r="Q15" s="3009"/>
      <c r="R15" s="3009"/>
      <c r="S15" s="1345"/>
      <c r="T15" s="1342"/>
      <c r="U15" s="1251"/>
      <c r="V15" s="1251"/>
      <c r="W15" s="1252"/>
      <c r="X15" s="1252"/>
      <c r="Y15" s="1252"/>
      <c r="Z15" s="1252"/>
      <c r="AA15" s="1253"/>
      <c r="AB15" s="1254"/>
      <c r="AC15" s="3001"/>
      <c r="AD15" s="1255"/>
      <c r="AE15" s="1256"/>
      <c r="AF15" s="1256"/>
      <c r="AG15" s="1257"/>
      <c r="AH15" s="1258"/>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2"/>
      <c r="BW15" s="1252"/>
      <c r="BX15" s="1252"/>
      <c r="BY15" s="1252"/>
      <c r="BZ15" s="1252"/>
      <c r="CA15" s="1252"/>
      <c r="CB15" s="1252"/>
      <c r="CC15" s="1252"/>
      <c r="CD15" s="1252"/>
      <c r="CE15" s="1252"/>
      <c r="CF15" s="919">
        <v>0</v>
      </c>
    </row>
    <row s="34718" customFormat="1" customHeight="1" ht="15" hidden="1">
      <c r="A16" s="1249"/>
      <c r="B16" s="1250"/>
      <c r="C16" s="1250"/>
      <c r="D16" s="3007"/>
      <c r="E16" s="3003" t="s">
        <v>583</v>
      </c>
      <c r="F16" s="3004"/>
      <c r="G16" s="3005"/>
      <c r="H16" s="3009" t="str">
        <f>IF(A14="","",INDEX(DIFFERENTIATION_UNMERGE_SYSTEM,MATCH(A14,DIFFERENTIATION_ID_DIFF,0)))</f>
        <v>Благовещенская ТЭЦ (г. Благовещенск)</v>
      </c>
      <c r="I16" s="3009"/>
      <c r="J16" s="3009"/>
      <c r="K16" s="3009"/>
      <c r="L16" s="3009"/>
      <c r="M16" s="3009"/>
      <c r="N16" s="3009"/>
      <c r="O16" s="3009"/>
      <c r="P16" s="3009"/>
      <c r="Q16" s="3009"/>
      <c r="R16" s="3009"/>
      <c r="S16" s="1345"/>
      <c r="T16" s="1342"/>
      <c r="U16" s="1251"/>
      <c r="V16" s="1251"/>
      <c r="W16" s="1252"/>
      <c r="X16" s="1252"/>
      <c r="Y16" s="1252"/>
      <c r="Z16" s="1252"/>
      <c r="AA16" s="1253"/>
      <c r="AB16" s="1254"/>
      <c r="AC16" s="3001"/>
      <c r="AD16" s="1255"/>
      <c r="AE16" s="1256"/>
      <c r="AF16" s="1256"/>
      <c r="AG16" s="1257"/>
      <c r="AH16" s="1258"/>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2"/>
      <c r="BW16" s="1252"/>
      <c r="BX16" s="1252"/>
      <c r="BY16" s="1252"/>
      <c r="BZ16" s="1252"/>
      <c r="CA16" s="1252"/>
      <c r="CB16" s="1252"/>
      <c r="CC16" s="1252"/>
      <c r="CD16" s="1252"/>
      <c r="CE16" s="1252"/>
      <c r="CF16" s="919">
        <v>0</v>
      </c>
    </row>
    <row s="34718" customFormat="1" customHeight="1" ht="22.5" hidden="1">
      <c r="A17" s="1259"/>
      <c r="B17" s="1043"/>
      <c r="C17" s="1038"/>
      <c r="D17" s="3007"/>
      <c r="E17" s="3002" t="s">
        <v>628</v>
      </c>
      <c r="F17" s="3002"/>
      <c r="G17" s="3002"/>
      <c r="H17" s="3002"/>
      <c r="I17" s="3002"/>
      <c r="J17" s="3002"/>
      <c r="K17" s="3002"/>
      <c r="L17" s="3002"/>
      <c r="M17" s="3002"/>
      <c r="N17" s="3002"/>
      <c r="O17" s="3002"/>
      <c r="P17" s="3002"/>
      <c r="Q17" s="1184">
        <f>SUMIF(T18:T19,"i",Q18:Q19)</f>
        <v>0</v>
      </c>
      <c r="R17" s="1643"/>
      <c r="S17" s="1523" t="s">
        <v>629</v>
      </c>
      <c r="T17" s="1343" t="s">
        <v>630</v>
      </c>
      <c r="U17" s="3000">
        <v>1</v>
      </c>
      <c r="V17" s="3000" t="str">
        <f>INDEX(B_FHD_FLAG_INDEX_1,1,MATCH(A14,B_FHD_FLAG_DIFFERENTIATION,0))</f>
        <v>отсутствует</v>
      </c>
      <c r="W17" s="1043"/>
      <c r="X17" s="1043"/>
      <c r="Y17" s="1043"/>
      <c r="Z17" s="1043"/>
      <c r="AA17" s="1137"/>
      <c r="AB17" s="1043"/>
      <c r="AC17" s="3001"/>
      <c r="AD17" s="1255"/>
      <c r="AE17" s="1043"/>
      <c r="AF17" s="1043"/>
      <c r="AG17" s="1137"/>
      <c r="AH17" s="1137"/>
      <c r="AI17" s="1137"/>
      <c r="AJ17" s="1137"/>
      <c r="AK17" s="1137"/>
      <c r="AL17" s="1137"/>
      <c r="AM17" s="1137"/>
      <c r="AN17" s="1137"/>
      <c r="AO17" s="1137"/>
      <c r="AP17" s="1137"/>
      <c r="AQ17" s="1137"/>
      <c r="AR17" s="1137"/>
      <c r="AS17" s="1137"/>
      <c r="AT17" s="1137"/>
      <c r="AU17" s="1137"/>
      <c r="AV17" s="1137"/>
      <c r="AW17" s="1137"/>
      <c r="AX17" s="1137"/>
      <c r="AY17" s="1137"/>
      <c r="AZ17" s="1137"/>
      <c r="BA17" s="1137"/>
      <c r="BB17" s="1137"/>
      <c r="BC17" s="1137"/>
      <c r="BD17" s="1137"/>
      <c r="BE17" s="1137"/>
      <c r="BF17" s="1137"/>
      <c r="BG17" s="1137"/>
      <c r="BH17" s="1137"/>
      <c r="BI17" s="1137"/>
      <c r="BJ17" s="1137"/>
      <c r="BK17" s="1137"/>
      <c r="BL17" s="1137"/>
      <c r="BM17" s="1137"/>
      <c r="BN17" s="1137"/>
      <c r="BO17" s="1137"/>
      <c r="BP17" s="1137"/>
      <c r="BQ17" s="1137"/>
      <c r="BR17" s="1137"/>
      <c r="BS17" s="1137"/>
      <c r="BT17" s="1137"/>
      <c r="BU17" s="1137"/>
      <c r="BV17" s="1043"/>
      <c r="BW17" s="1043"/>
      <c r="BX17" s="1043"/>
      <c r="BY17" s="1043"/>
      <c r="BZ17" s="1043"/>
      <c r="CA17" s="1043"/>
      <c r="CB17" s="1043"/>
      <c r="CC17" s="1043"/>
      <c r="CD17" s="1043"/>
      <c r="CE17" s="1043"/>
      <c r="CF17" s="919">
        <v>0</v>
      </c>
    </row>
    <row s="34718" customFormat="1" customHeight="1" ht="11.25" hidden="1">
      <c r="A18" s="1260"/>
      <c r="B18" s="1137"/>
      <c r="C18" s="1137"/>
      <c r="D18" s="3007"/>
      <c r="E18" s="1261"/>
      <c r="F18" s="1261">
        <v>0</v>
      </c>
      <c r="G18" s="1261"/>
      <c r="H18" s="1261"/>
      <c r="I18" s="1261"/>
      <c r="J18" s="1261"/>
      <c r="K18" s="1261"/>
      <c r="L18" s="1261"/>
      <c r="M18" s="1261"/>
      <c r="N18" s="1261"/>
      <c r="O18" s="1261"/>
      <c r="P18" s="1261"/>
      <c r="Q18" s="1261"/>
      <c r="R18" s="1261"/>
      <c r="S18" s="1262"/>
      <c r="T18" s="1344"/>
      <c r="U18" s="3000"/>
      <c r="V18" s="3000"/>
      <c r="W18" s="1137"/>
      <c r="X18" s="1137"/>
      <c r="Y18" s="1137"/>
      <c r="Z18" s="1137"/>
      <c r="AA18" s="1137"/>
      <c r="AB18" s="1043"/>
      <c r="AC18" s="3001"/>
      <c r="AD18" s="1255"/>
      <c r="AE18" s="1043"/>
      <c r="AF18" s="1043"/>
      <c r="AG18" s="1137"/>
      <c r="AH18" s="1137"/>
      <c r="AI18" s="1137"/>
      <c r="AJ18" s="1137"/>
      <c r="AK18" s="1137"/>
      <c r="AL18" s="1137"/>
      <c r="AM18" s="1137"/>
      <c r="AN18" s="1137"/>
      <c r="AO18" s="1137"/>
      <c r="AP18" s="1137"/>
      <c r="AQ18" s="1137"/>
      <c r="AR18" s="1137"/>
      <c r="AS18" s="1137"/>
      <c r="AT18" s="1137"/>
      <c r="AU18" s="1137"/>
      <c r="AV18" s="1137"/>
      <c r="AW18" s="1137"/>
      <c r="AX18" s="1137"/>
      <c r="AY18" s="1137"/>
      <c r="AZ18" s="1137"/>
      <c r="BA18" s="1137"/>
      <c r="BB18" s="1137"/>
      <c r="BC18" s="1137"/>
      <c r="BD18" s="1137"/>
      <c r="BE18" s="1137"/>
      <c r="BF18" s="1137"/>
      <c r="BG18" s="1137"/>
      <c r="BH18" s="1137"/>
      <c r="BI18" s="1137"/>
      <c r="BJ18" s="1137"/>
      <c r="BK18" s="1137"/>
      <c r="BL18" s="1137"/>
      <c r="BM18" s="1137"/>
      <c r="BN18" s="1137"/>
      <c r="BO18" s="1137"/>
      <c r="BP18" s="1137"/>
      <c r="BQ18" s="1137"/>
      <c r="BR18" s="1137"/>
      <c r="BS18" s="1137"/>
      <c r="BT18" s="1137"/>
      <c r="BU18" s="1137"/>
      <c r="BV18" s="1137"/>
      <c r="BW18" s="1137"/>
      <c r="BX18" s="1137"/>
      <c r="BY18" s="1137"/>
      <c r="BZ18" s="1137"/>
      <c r="CA18" s="1137"/>
      <c r="CB18" s="1137"/>
      <c r="CC18" s="1137"/>
      <c r="CD18" s="1137"/>
      <c r="CE18" s="1137"/>
      <c r="CF18" s="919">
        <v>0</v>
      </c>
    </row>
    <row s="34718" customFormat="1" customHeight="1" ht="11.25" hidden="1">
      <c r="A19" s="1259"/>
      <c r="B19" s="1043"/>
      <c r="C19" s="1038"/>
      <c r="D19" s="3007"/>
      <c r="E19" s="1275" t="s">
        <v>22</v>
      </c>
      <c r="F19" s="1276" t="s">
        <v>22</v>
      </c>
      <c r="G19" s="1276" t="s">
        <v>22</v>
      </c>
      <c r="H19" s="1277" t="s">
        <v>22</v>
      </c>
      <c r="I19" s="1277"/>
      <c r="J19" s="1277"/>
      <c r="K19" s="1277"/>
      <c r="L19" s="1277"/>
      <c r="M19" s="1277"/>
      <c r="N19" s="1277"/>
      <c r="O19" s="1277"/>
      <c r="P19" s="1277"/>
      <c r="Q19" s="1277"/>
      <c r="R19" s="1278"/>
      <c r="S19" s="1646"/>
      <c r="T19" s="1344"/>
      <c r="U19" s="3000"/>
      <c r="V19" s="3000"/>
      <c r="W19" s="1043"/>
      <c r="X19" s="1043"/>
      <c r="Y19" s="1043"/>
      <c r="Z19" s="1043"/>
      <c r="AA19" s="1137"/>
      <c r="AB19" s="1043"/>
      <c r="AC19" s="3001"/>
      <c r="AD19" s="1255"/>
      <c r="AE19" s="1043"/>
      <c r="AF19" s="1043"/>
      <c r="AG19" s="1137"/>
      <c r="AH19" s="1137"/>
      <c r="AI19" s="1137"/>
      <c r="AJ19" s="1137"/>
      <c r="AK19" s="1137"/>
      <c r="AL19" s="1137"/>
      <c r="AM19" s="1137"/>
      <c r="AN19" s="1137"/>
      <c r="AO19" s="1137"/>
      <c r="AP19" s="1137"/>
      <c r="AQ19" s="1137"/>
      <c r="AR19" s="1137"/>
      <c r="AS19" s="1137"/>
      <c r="AT19" s="1137"/>
      <c r="AU19" s="1137"/>
      <c r="AV19" s="1137"/>
      <c r="AW19" s="1137"/>
      <c r="AX19" s="1137"/>
      <c r="AY19" s="1137"/>
      <c r="AZ19" s="1137"/>
      <c r="BA19" s="1137"/>
      <c r="BB19" s="1137"/>
      <c r="BC19" s="1137"/>
      <c r="BD19" s="1137"/>
      <c r="BE19" s="1137"/>
      <c r="BF19" s="1137"/>
      <c r="BG19" s="1137"/>
      <c r="BH19" s="1137"/>
      <c r="BI19" s="1137"/>
      <c r="BJ19" s="1137"/>
      <c r="BK19" s="1137"/>
      <c r="BL19" s="1137"/>
      <c r="BM19" s="1137"/>
      <c r="BN19" s="1137"/>
      <c r="BO19" s="1137"/>
      <c r="BP19" s="1137"/>
      <c r="BQ19" s="1137"/>
      <c r="BR19" s="1137"/>
      <c r="BS19" s="1137"/>
      <c r="BT19" s="1137"/>
      <c r="BU19" s="1137"/>
      <c r="BV19" s="1043"/>
      <c r="BW19" s="1043"/>
      <c r="BX19" s="1043"/>
      <c r="BY19" s="1043"/>
      <c r="BZ19" s="1043"/>
      <c r="CA19" s="1043"/>
      <c r="CB19" s="1043"/>
      <c r="CC19" s="1043"/>
      <c r="CD19" s="1043"/>
      <c r="CE19" s="1043"/>
      <c r="CF19" s="919">
        <v>0</v>
      </c>
    </row>
    <row s="34718" customFormat="1" customHeight="1" ht="22.5" hidden="1">
      <c r="A20" s="1259"/>
      <c r="B20" s="1043"/>
      <c r="C20" s="1038"/>
      <c r="D20" s="3007"/>
      <c r="E20" s="3002" t="s">
        <v>631</v>
      </c>
      <c r="F20" s="3002"/>
      <c r="G20" s="3002"/>
      <c r="H20" s="3002"/>
      <c r="I20" s="3002"/>
      <c r="J20" s="3002"/>
      <c r="K20" s="3002"/>
      <c r="L20" s="3002"/>
      <c r="M20" s="3002"/>
      <c r="N20" s="3002"/>
      <c r="O20" s="3002"/>
      <c r="P20" s="3002"/>
      <c r="Q20" s="1184">
        <f>SUMIF(T21:T22,"i",Q21:Q22)</f>
        <v>0</v>
      </c>
      <c r="R20" s="1643"/>
      <c r="S20" s="1335" t="s">
        <v>632</v>
      </c>
      <c r="T20" s="1343" t="s">
        <v>630</v>
      </c>
      <c r="U20" s="3000">
        <v>2</v>
      </c>
      <c r="V20" s="3000" t="str">
        <f>INDEX(B_FHD_FLAG_INDEX_2,1,MATCH(A14,B_FHD_FLAG_DIFFERENTIATION,0))</f>
        <v>отсутствует</v>
      </c>
      <c r="W20" s="1043"/>
      <c r="X20" s="1043"/>
      <c r="Y20" s="1043"/>
      <c r="Z20" s="1043"/>
      <c r="AA20" s="1137"/>
      <c r="AB20" s="1043"/>
      <c r="AC20" s="1332"/>
      <c r="AD20" s="1255"/>
      <c r="AE20" s="1043"/>
      <c r="AF20" s="1043"/>
      <c r="AG20" s="1137"/>
      <c r="AH20" s="1137"/>
      <c r="AI20" s="1137"/>
      <c r="AJ20" s="1137"/>
      <c r="AK20" s="1137"/>
      <c r="AL20" s="1137"/>
      <c r="AM20" s="1137"/>
      <c r="AN20" s="1137"/>
      <c r="AO20" s="1137"/>
      <c r="AP20" s="1137"/>
      <c r="AQ20" s="1137"/>
      <c r="AR20" s="1137"/>
      <c r="AS20" s="1137"/>
      <c r="AT20" s="1137"/>
      <c r="AU20" s="1137"/>
      <c r="AV20" s="1137"/>
      <c r="AW20" s="1137"/>
      <c r="AX20" s="1137"/>
      <c r="AY20" s="1137"/>
      <c r="AZ20" s="1137"/>
      <c r="BA20" s="1137"/>
      <c r="BB20" s="1137"/>
      <c r="BC20" s="1137"/>
      <c r="BD20" s="1137"/>
      <c r="BE20" s="1137"/>
      <c r="BF20" s="1137"/>
      <c r="BG20" s="1137"/>
      <c r="BH20" s="1137"/>
      <c r="BI20" s="1137"/>
      <c r="BJ20" s="1137"/>
      <c r="BK20" s="1137"/>
      <c r="BL20" s="1137"/>
      <c r="BM20" s="1137"/>
      <c r="BN20" s="1137"/>
      <c r="BO20" s="1137"/>
      <c r="BP20" s="1137"/>
      <c r="BQ20" s="1137"/>
      <c r="BR20" s="1137"/>
      <c r="BS20" s="1137"/>
      <c r="BT20" s="1137"/>
      <c r="BU20" s="1137"/>
      <c r="BV20" s="1043"/>
      <c r="BW20" s="1043"/>
      <c r="BX20" s="1043"/>
      <c r="BY20" s="1043"/>
      <c r="BZ20" s="1043"/>
      <c r="CA20" s="1043"/>
      <c r="CB20" s="1043"/>
      <c r="CC20" s="1043"/>
      <c r="CD20" s="1043"/>
      <c r="CE20" s="1043"/>
      <c r="CF20" s="919">
        <v>0</v>
      </c>
    </row>
    <row s="34718" customFormat="1" customHeight="1" ht="11.25" hidden="1">
      <c r="A21" s="1334"/>
      <c r="B21" s="1137"/>
      <c r="C21" s="1137"/>
      <c r="D21" s="3007"/>
      <c r="E21" s="1261"/>
      <c r="F21" s="1261">
        <v>0</v>
      </c>
      <c r="G21" s="1261"/>
      <c r="H21" s="1261"/>
      <c r="I21" s="1261"/>
      <c r="J21" s="1261"/>
      <c r="K21" s="1261"/>
      <c r="L21" s="1261"/>
      <c r="M21" s="1261"/>
      <c r="N21" s="1261"/>
      <c r="O21" s="1261"/>
      <c r="P21" s="1261"/>
      <c r="Q21" s="1261"/>
      <c r="R21" s="1261"/>
      <c r="S21" s="1262"/>
      <c r="T21" s="1344"/>
      <c r="U21" s="3000"/>
      <c r="V21" s="3000"/>
      <c r="W21" s="1137"/>
      <c r="X21" s="1137"/>
      <c r="Y21" s="1137"/>
      <c r="Z21" s="1137"/>
      <c r="AA21" s="1137"/>
      <c r="AB21" s="1043"/>
      <c r="AC21" s="1332"/>
      <c r="AD21" s="1255"/>
      <c r="AE21" s="1043"/>
      <c r="AF21" s="1043"/>
      <c r="AG21" s="1137"/>
      <c r="AH21" s="1137"/>
      <c r="AI21" s="1137"/>
      <c r="AJ21" s="1137"/>
      <c r="AK21" s="1137"/>
      <c r="AL21" s="1137"/>
      <c r="AM21" s="1137"/>
      <c r="AN21" s="1137"/>
      <c r="AO21" s="1137"/>
      <c r="AP21" s="1137"/>
      <c r="AQ21" s="1137"/>
      <c r="AR21" s="1137"/>
      <c r="AS21" s="1137"/>
      <c r="AT21" s="1137"/>
      <c r="AU21" s="1137"/>
      <c r="AV21" s="1137"/>
      <c r="AW21" s="1137"/>
      <c r="AX21" s="1137"/>
      <c r="AY21" s="1137"/>
      <c r="AZ21" s="1137"/>
      <c r="BA21" s="1137"/>
      <c r="BB21" s="1137"/>
      <c r="BC21" s="1137"/>
      <c r="BD21" s="1137"/>
      <c r="BE21" s="1137"/>
      <c r="BF21" s="1137"/>
      <c r="BG21" s="1137"/>
      <c r="BH21" s="1137"/>
      <c r="BI21" s="1137"/>
      <c r="BJ21" s="1137"/>
      <c r="BK21" s="1137"/>
      <c r="BL21" s="1137"/>
      <c r="BM21" s="1137"/>
      <c r="BN21" s="1137"/>
      <c r="BO21" s="1137"/>
      <c r="BP21" s="1137"/>
      <c r="BQ21" s="1137"/>
      <c r="BR21" s="1137"/>
      <c r="BS21" s="1137"/>
      <c r="BT21" s="1137"/>
      <c r="BU21" s="1137"/>
      <c r="BV21" s="1137"/>
      <c r="BW21" s="1137"/>
      <c r="BX21" s="1137"/>
      <c r="BY21" s="1137"/>
      <c r="BZ21" s="1137"/>
      <c r="CA21" s="1137"/>
      <c r="CB21" s="1137"/>
      <c r="CC21" s="1137"/>
      <c r="CD21" s="1137"/>
      <c r="CE21" s="1137"/>
      <c r="CF21" s="919">
        <v>0</v>
      </c>
    </row>
    <row s="34718" customFormat="1" customHeight="1" ht="11.25" hidden="1">
      <c r="A22" s="1259"/>
      <c r="B22" s="1043"/>
      <c r="C22" s="1038"/>
      <c r="D22" s="3008"/>
      <c r="E22" s="1275" t="s">
        <v>22</v>
      </c>
      <c r="F22" s="1276" t="s">
        <v>22</v>
      </c>
      <c r="G22" s="1276" t="s">
        <v>22</v>
      </c>
      <c r="H22" s="1277" t="s">
        <v>22</v>
      </c>
      <c r="I22" s="1277"/>
      <c r="J22" s="1277"/>
      <c r="K22" s="1277"/>
      <c r="L22" s="1277"/>
      <c r="M22" s="1277"/>
      <c r="N22" s="1277"/>
      <c r="O22" s="1277"/>
      <c r="P22" s="1277"/>
      <c r="Q22" s="1277"/>
      <c r="R22" s="1278"/>
      <c r="S22" s="1646"/>
      <c r="T22" s="1344"/>
      <c r="U22" s="3000"/>
      <c r="V22" s="3000"/>
      <c r="W22" s="1043"/>
      <c r="X22" s="1043"/>
      <c r="Y22" s="1043"/>
      <c r="Z22" s="1043"/>
      <c r="AA22" s="1137"/>
      <c r="AB22" s="1043"/>
      <c r="AC22" s="1332"/>
      <c r="AD22" s="1255"/>
      <c r="AE22" s="1043"/>
      <c r="AF22" s="1043"/>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137"/>
      <c r="BP22" s="1137"/>
      <c r="BQ22" s="1137"/>
      <c r="BR22" s="1137"/>
      <c r="BS22" s="1137"/>
      <c r="BT22" s="1137"/>
      <c r="BU22" s="1137"/>
      <c r="BV22" s="1043"/>
      <c r="BW22" s="1043"/>
      <c r="BX22" s="1043"/>
      <c r="BY22" s="1043"/>
      <c r="BZ22" s="1043"/>
      <c r="CA22" s="1043"/>
      <c r="CB22" s="1043"/>
      <c r="CC22" s="1043"/>
      <c r="CD22" s="1043"/>
      <c r="CE22" s="1043"/>
      <c r="CF22" s="919">
        <v>0</v>
      </c>
    </row>
    <row customHeight="1" ht="15" hidden="1">
      <c r="A23" s="1249" t="s">
        <v>131</v>
      </c>
      <c r="B23" s="1250"/>
      <c r="C23" s="1250" t="s">
        <v>22</v>
      </c>
      <c r="D23" s="3204" t="s">
        <v>170</v>
      </c>
      <c r="E23" s="3003" t="s">
        <v>114</v>
      </c>
      <c r="F23" s="3004"/>
      <c r="G23" s="3005"/>
      <c r="H23" s="3009" t="str">
        <f>IF(A23="","",INDEX(DIFFERENTIATION_UNMERGE_VD,MATCH(A23,DIFFERENTIATION_ID_DIFF,0)))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I23" s="3009"/>
      <c r="J23" s="3009"/>
      <c r="K23" s="3009"/>
      <c r="L23" s="3009"/>
      <c r="M23" s="3009"/>
      <c r="N23" s="3009"/>
      <c r="O23" s="3009"/>
      <c r="P23" s="3009"/>
      <c r="Q23" s="3009"/>
      <c r="R23" s="3009"/>
      <c r="S23" s="1345"/>
      <c r="T23" s="1342"/>
      <c r="U23" s="1251"/>
      <c r="V23" s="1251"/>
      <c r="W23" s="1252"/>
      <c r="X23" s="1252"/>
      <c r="Y23" s="1252"/>
      <c r="Z23" s="1252"/>
      <c r="AA23" s="1253"/>
      <c r="AB23" s="1254"/>
      <c r="AC23" s="3001"/>
      <c r="AD23" s="1255"/>
      <c r="AE23" s="1256" t="s">
        <v>22</v>
      </c>
      <c r="AF23" s="1256"/>
      <c r="AG23" s="1257" t="s">
        <v>627</v>
      </c>
      <c r="AH23" s="1258">
        <v>3</v>
      </c>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2"/>
      <c r="BW23" s="1252"/>
      <c r="BX23" s="1252"/>
      <c r="BY23" s="1252"/>
      <c r="BZ23" s="1252"/>
      <c r="CA23" s="1252"/>
      <c r="CB23" s="1252"/>
      <c r="CC23" s="1252"/>
      <c r="CD23" s="1252"/>
      <c r="CE23" s="1252"/>
      <c r="CF23" s="4706"/>
    </row>
    <row customHeight="1" ht="15" hidden="1">
      <c r="A24" s="1249"/>
      <c r="B24" s="1250"/>
      <c r="C24" s="1250"/>
      <c r="D24" s="3205"/>
      <c r="E24" s="3003" t="s">
        <v>582</v>
      </c>
      <c r="F24" s="3004"/>
      <c r="G24" s="3005"/>
      <c r="H24" s="3009" t="str">
        <f>IF(A23="","",INDEX(DIFFERENTIATION_UNMERGE_AREA,MATCH(A23,DIFFERENTIATION_ID_DIFF,0)))</f>
        <v>Территория 2</v>
      </c>
      <c r="I24" s="3009"/>
      <c r="J24" s="3009"/>
      <c r="K24" s="3009"/>
      <c r="L24" s="3009"/>
      <c r="M24" s="3009"/>
      <c r="N24" s="3009"/>
      <c r="O24" s="3009"/>
      <c r="P24" s="3009"/>
      <c r="Q24" s="3009"/>
      <c r="R24" s="3009"/>
      <c r="S24" s="1345"/>
      <c r="T24" s="1342"/>
      <c r="U24" s="1251"/>
      <c r="V24" s="1251"/>
      <c r="W24" s="1252"/>
      <c r="X24" s="1252"/>
      <c r="Y24" s="1252"/>
      <c r="Z24" s="1252"/>
      <c r="AA24" s="1253"/>
      <c r="AB24" s="1254"/>
      <c r="AC24" s="3001"/>
      <c r="AD24" s="1255"/>
      <c r="AE24" s="1256"/>
      <c r="AF24" s="1256"/>
      <c r="AG24" s="1257"/>
      <c r="AH24" s="1258"/>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2"/>
      <c r="BW24" s="1252"/>
      <c r="BX24" s="1252"/>
      <c r="BY24" s="1252"/>
      <c r="BZ24" s="1252"/>
      <c r="CA24" s="1252"/>
      <c r="CB24" s="1252"/>
      <c r="CC24" s="1252"/>
      <c r="CD24" s="1252"/>
      <c r="CE24" s="1252"/>
      <c r="CF24" s="4706"/>
    </row>
    <row customHeight="1" ht="15" hidden="1">
      <c r="A25" s="1249"/>
      <c r="B25" s="1250"/>
      <c r="C25" s="1250"/>
      <c r="D25" s="3205"/>
      <c r="E25" s="3003" t="s">
        <v>583</v>
      </c>
      <c r="F25" s="3004"/>
      <c r="G25" s="3005"/>
      <c r="H25" s="3009" t="str">
        <f>IF(A23="","",INDEX(DIFFERENTIATION_UNMERGE_SYSTEM,MATCH(A23,DIFFERENTIATION_ID_DIFF,0)))</f>
        <v>Райчихинская ГРЭС </v>
      </c>
      <c r="I25" s="3009"/>
      <c r="J25" s="3009"/>
      <c r="K25" s="3009"/>
      <c r="L25" s="3009"/>
      <c r="M25" s="3009"/>
      <c r="N25" s="3009"/>
      <c r="O25" s="3009"/>
      <c r="P25" s="3009"/>
      <c r="Q25" s="3009"/>
      <c r="R25" s="3009"/>
      <c r="S25" s="1345"/>
      <c r="T25" s="1342"/>
      <c r="U25" s="1251"/>
      <c r="V25" s="1251"/>
      <c r="W25" s="1252"/>
      <c r="X25" s="1252"/>
      <c r="Y25" s="1252"/>
      <c r="Z25" s="1252"/>
      <c r="AA25" s="1253"/>
      <c r="AB25" s="1254"/>
      <c r="AC25" s="3001"/>
      <c r="AD25" s="1255"/>
      <c r="AE25" s="1256"/>
      <c r="AF25" s="1256"/>
      <c r="AG25" s="1257"/>
      <c r="AH25" s="1258"/>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2"/>
      <c r="BW25" s="1252"/>
      <c r="BX25" s="1252"/>
      <c r="BY25" s="1252"/>
      <c r="BZ25" s="1252"/>
      <c r="CA25" s="1252"/>
      <c r="CB25" s="1252"/>
      <c r="CC25" s="1252"/>
      <c r="CD25" s="1252"/>
      <c r="CE25" s="1252"/>
      <c r="CF25" s="4706"/>
    </row>
    <row customHeight="1" ht="24.75" hidden="1">
      <c r="A26" s="2432"/>
      <c r="B26" s="1786"/>
      <c r="C26" s="1038"/>
      <c r="D26" s="3205"/>
      <c r="E26" s="3002" t="s">
        <v>628</v>
      </c>
      <c r="F26" s="3002"/>
      <c r="G26" s="3002"/>
      <c r="H26" s="3002"/>
      <c r="I26" s="3002"/>
      <c r="J26" s="3002"/>
      <c r="K26" s="3002"/>
      <c r="L26" s="3002"/>
      <c r="M26" s="3002"/>
      <c r="N26" s="3002"/>
      <c r="O26" s="3002"/>
      <c r="P26" s="3002"/>
      <c r="Q26" s="1184">
        <f>SUMIF(T27:T28,"i",Q27:Q28)</f>
        <v>0</v>
      </c>
      <c r="R26" s="1643"/>
      <c r="S26" s="2424" t="s">
        <v>629</v>
      </c>
      <c r="T26" s="1343" t="s">
        <v>630</v>
      </c>
      <c r="U26" s="3000">
        <v>1</v>
      </c>
      <c r="V26" s="3000" t="s">
        <v>593</v>
      </c>
      <c r="W26" s="1786"/>
      <c r="X26" s="1786"/>
      <c r="Y26" s="1786"/>
      <c r="Z26" s="1786"/>
      <c r="AA26" s="2262"/>
      <c r="AB26" s="1786"/>
      <c r="AC26" s="3001"/>
      <c r="AD26" s="1255"/>
      <c r="AE26" s="1786"/>
      <c r="AF26" s="1786"/>
      <c r="AG26" s="2262"/>
      <c r="AH26" s="2262"/>
      <c r="AI26" s="2262"/>
      <c r="AJ26" s="2262"/>
      <c r="AK26" s="2262"/>
      <c r="AL26" s="2262"/>
      <c r="AM26" s="2262"/>
      <c r="AN26" s="2262"/>
      <c r="AO26" s="2262"/>
      <c r="AP26" s="2262"/>
      <c r="AQ26" s="2262"/>
      <c r="AR26" s="2262"/>
      <c r="AS26" s="2262"/>
      <c r="AT26" s="2262"/>
      <c r="AU26" s="2262"/>
      <c r="AV26" s="2262"/>
      <c r="AW26" s="2262"/>
      <c r="AX26" s="2262"/>
      <c r="AY26" s="2262"/>
      <c r="AZ26" s="2262"/>
      <c r="BA26" s="2262"/>
      <c r="BB26" s="2262"/>
      <c r="BC26" s="2262"/>
      <c r="BD26" s="2262"/>
      <c r="BE26" s="2262"/>
      <c r="BF26" s="2262"/>
      <c r="BG26" s="2262"/>
      <c r="BH26" s="2262"/>
      <c r="BI26" s="2262"/>
      <c r="BJ26" s="2262"/>
      <c r="BK26" s="2262"/>
      <c r="BL26" s="2262"/>
      <c r="BM26" s="2262"/>
      <c r="BN26" s="2262"/>
      <c r="BO26" s="2262"/>
      <c r="BP26" s="2262"/>
      <c r="BQ26" s="2262"/>
      <c r="BR26" s="2262"/>
      <c r="BS26" s="2262"/>
      <c r="BT26" s="2262"/>
      <c r="BU26" s="2262"/>
      <c r="BV26" s="1786"/>
      <c r="BW26" s="1786"/>
      <c r="BX26" s="1786"/>
      <c r="BY26" s="1786"/>
      <c r="BZ26" s="1786"/>
      <c r="CA26" s="1786"/>
      <c r="CB26" s="1786"/>
      <c r="CC26" s="1786"/>
      <c r="CD26" s="1786"/>
      <c r="CE26" s="1786"/>
      <c r="CF26" s="4706"/>
    </row>
    <row customHeight="1" ht="11.25" hidden="1">
      <c r="A27" s="2419"/>
      <c r="B27" s="2262"/>
      <c r="C27" s="2262"/>
      <c r="D27" s="3205"/>
      <c r="E27" s="1261"/>
      <c r="F27" s="1261">
        <v>0</v>
      </c>
      <c r="G27" s="1261"/>
      <c r="H27" s="1261"/>
      <c r="I27" s="1261"/>
      <c r="J27" s="1261"/>
      <c r="K27" s="1261"/>
      <c r="L27" s="1261"/>
      <c r="M27" s="1261"/>
      <c r="N27" s="1261"/>
      <c r="O27" s="1261"/>
      <c r="P27" s="1261"/>
      <c r="Q27" s="1261"/>
      <c r="R27" s="1261"/>
      <c r="S27" s="1262"/>
      <c r="T27" s="1344"/>
      <c r="U27" s="3000"/>
      <c r="V27" s="3000"/>
      <c r="W27" s="2262"/>
      <c r="X27" s="2262"/>
      <c r="Y27" s="2262"/>
      <c r="Z27" s="2262"/>
      <c r="AA27" s="2262"/>
      <c r="AB27" s="1786"/>
      <c r="AC27" s="3001"/>
      <c r="AD27" s="1255"/>
      <c r="AE27" s="1786"/>
      <c r="AF27" s="1786"/>
      <c r="AG27" s="2262"/>
      <c r="AH27" s="2262"/>
      <c r="AI27" s="2262"/>
      <c r="AJ27" s="2262"/>
      <c r="AK27" s="2262"/>
      <c r="AL27" s="2262"/>
      <c r="AM27" s="2262"/>
      <c r="AN27" s="2262"/>
      <c r="AO27" s="2262"/>
      <c r="AP27" s="2262"/>
      <c r="AQ27" s="2262"/>
      <c r="AR27" s="2262"/>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c r="BP27" s="2262"/>
      <c r="BQ27" s="2262"/>
      <c r="BR27" s="2262"/>
      <c r="BS27" s="2262"/>
      <c r="BT27" s="2262"/>
      <c r="BU27" s="2262"/>
      <c r="BV27" s="2262"/>
      <c r="BW27" s="2262"/>
      <c r="BX27" s="2262"/>
      <c r="BY27" s="2262"/>
      <c r="BZ27" s="2262"/>
      <c r="CA27" s="2262"/>
      <c r="CB27" s="2262"/>
      <c r="CC27" s="2262"/>
      <c r="CD27" s="2262"/>
      <c r="CE27" s="2262"/>
      <c r="CF27" s="4706"/>
    </row>
    <row customHeight="1" ht="11.25" hidden="1">
      <c r="A28" s="2432"/>
      <c r="B28" s="1786"/>
      <c r="C28" s="1038"/>
      <c r="D28" s="3205"/>
      <c r="E28" s="1275" t="s">
        <v>22</v>
      </c>
      <c r="F28" s="1794" t="s">
        <v>22</v>
      </c>
      <c r="G28" s="1794" t="s">
        <v>633</v>
      </c>
      <c r="H28" s="1277" t="s">
        <v>22</v>
      </c>
      <c r="I28" s="1277"/>
      <c r="J28" s="1277"/>
      <c r="K28" s="1277"/>
      <c r="L28" s="1277"/>
      <c r="M28" s="1277"/>
      <c r="N28" s="1277"/>
      <c r="O28" s="1277"/>
      <c r="P28" s="1277"/>
      <c r="Q28" s="1277"/>
      <c r="R28" s="1278"/>
      <c r="S28" s="1279"/>
      <c r="T28" s="1344"/>
      <c r="U28" s="3000"/>
      <c r="V28" s="3000"/>
      <c r="W28" s="1786"/>
      <c r="X28" s="1786"/>
      <c r="Y28" s="1786"/>
      <c r="Z28" s="1786"/>
      <c r="AA28" s="2262"/>
      <c r="AB28" s="1786"/>
      <c r="AC28" s="3001"/>
      <c r="AD28" s="1255"/>
      <c r="AE28" s="1786"/>
      <c r="AF28" s="1786"/>
      <c r="AG28" s="2262"/>
      <c r="AH28" s="2262"/>
      <c r="AI28" s="2262"/>
      <c r="AJ28" s="2262"/>
      <c r="AK28" s="2262"/>
      <c r="AL28" s="2262"/>
      <c r="AM28" s="2262"/>
      <c r="AN28" s="2262"/>
      <c r="AO28" s="2262"/>
      <c r="AP28" s="2262"/>
      <c r="AQ28" s="2262"/>
      <c r="AR28" s="2262"/>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c r="BP28" s="2262"/>
      <c r="BQ28" s="2262"/>
      <c r="BR28" s="2262"/>
      <c r="BS28" s="2262"/>
      <c r="BT28" s="2262"/>
      <c r="BU28" s="2262"/>
      <c r="BV28" s="1786"/>
      <c r="BW28" s="1786"/>
      <c r="BX28" s="1786"/>
      <c r="BY28" s="1786"/>
      <c r="BZ28" s="1786"/>
      <c r="CA28" s="1786"/>
      <c r="CB28" s="1786"/>
      <c r="CC28" s="1786"/>
      <c r="CD28" s="1786"/>
      <c r="CE28" s="1786"/>
      <c r="CF28" s="4706"/>
    </row>
    <row customHeight="1" ht="5.25" hidden="1">
      <c r="A29" s="2419"/>
      <c r="B29" s="2262"/>
      <c r="C29" s="2262"/>
      <c r="D29" s="3205"/>
      <c r="E29" s="1665"/>
      <c r="F29" s="1665"/>
      <c r="G29" s="1665"/>
      <c r="H29" s="1665"/>
      <c r="I29" s="1665"/>
      <c r="J29" s="1665"/>
      <c r="K29" s="1665"/>
      <c r="L29" s="1665"/>
      <c r="M29" s="1665"/>
      <c r="N29" s="1665"/>
      <c r="O29" s="1665"/>
      <c r="P29" s="1665"/>
      <c r="Q29" s="1666"/>
      <c r="R29" s="1667"/>
      <c r="S29" s="1668"/>
      <c r="T29" s="1343" t="s">
        <v>630</v>
      </c>
      <c r="U29" s="3000">
        <v>1</v>
      </c>
      <c r="V29" s="3000" t="s">
        <v>593</v>
      </c>
      <c r="W29" s="2262"/>
      <c r="X29" s="2262"/>
      <c r="Y29" s="2262"/>
      <c r="Z29" s="2262"/>
      <c r="AA29" s="2262"/>
      <c r="AB29" s="2262"/>
      <c r="AC29" s="1663"/>
      <c r="AD29" s="1664"/>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c r="BP29" s="2262"/>
      <c r="BQ29" s="2262"/>
      <c r="BR29" s="2262"/>
      <c r="BS29" s="2262"/>
      <c r="BT29" s="2262"/>
      <c r="BU29" s="2262"/>
      <c r="BV29" s="2262"/>
      <c r="BW29" s="2262"/>
      <c r="BX29" s="2262"/>
      <c r="BY29" s="2262"/>
      <c r="BZ29" s="2262"/>
      <c r="CA29" s="2262"/>
      <c r="CB29" s="2262"/>
      <c r="CC29" s="2262"/>
      <c r="CD29" s="2262"/>
      <c r="CE29" s="2262"/>
      <c r="CF29" s="4717"/>
    </row>
    <row customHeight="1" ht="5.25" hidden="1">
      <c r="A30" s="2419"/>
      <c r="B30" s="2262"/>
      <c r="C30" s="2262"/>
      <c r="D30" s="3205"/>
      <c r="E30" s="1261"/>
      <c r="F30" s="1261"/>
      <c r="G30" s="1261"/>
      <c r="H30" s="1261"/>
      <c r="I30" s="1261"/>
      <c r="J30" s="1261"/>
      <c r="K30" s="1261"/>
      <c r="L30" s="1261"/>
      <c r="M30" s="1261"/>
      <c r="N30" s="1261"/>
      <c r="O30" s="1261"/>
      <c r="P30" s="1261"/>
      <c r="Q30" s="1261"/>
      <c r="R30" s="1261"/>
      <c r="S30" s="1262"/>
      <c r="T30" s="1344"/>
      <c r="U30" s="3000"/>
      <c r="V30" s="3000"/>
      <c r="W30" s="2262"/>
      <c r="X30" s="2262"/>
      <c r="Y30" s="2262"/>
      <c r="Z30" s="2262"/>
      <c r="AA30" s="2262"/>
      <c r="AB30" s="2262"/>
      <c r="AC30" s="1663"/>
      <c r="AD30" s="1664"/>
      <c r="AE30" s="2262"/>
      <c r="AF30" s="2262"/>
      <c r="AG30" s="2262"/>
      <c r="AH30" s="2262"/>
      <c r="AI30" s="2262"/>
      <c r="AJ30" s="2262"/>
      <c r="AK30" s="2262"/>
      <c r="AL30" s="2262"/>
      <c r="AM30" s="2262"/>
      <c r="AN30" s="2262"/>
      <c r="AO30" s="2262"/>
      <c r="AP30" s="2262"/>
      <c r="AQ30" s="2262"/>
      <c r="AR30" s="2262"/>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c r="BP30" s="2262"/>
      <c r="BQ30" s="2262"/>
      <c r="BR30" s="2262"/>
      <c r="BS30" s="2262"/>
      <c r="BT30" s="2262"/>
      <c r="BU30" s="2262"/>
      <c r="BV30" s="2262"/>
      <c r="BW30" s="2262"/>
      <c r="BX30" s="2262"/>
      <c r="BY30" s="2262"/>
      <c r="BZ30" s="2262"/>
      <c r="CA30" s="2262"/>
      <c r="CB30" s="2262"/>
      <c r="CC30" s="2262"/>
      <c r="CD30" s="2262"/>
      <c r="CE30" s="2262"/>
      <c r="CF30" s="4717"/>
    </row>
    <row customHeight="1" ht="5.25" hidden="1">
      <c r="A31" s="2419"/>
      <c r="B31" s="2262"/>
      <c r="C31" s="2262"/>
      <c r="D31" s="3206"/>
      <c r="E31" s="1669"/>
      <c r="F31" s="1670"/>
      <c r="G31" s="1670"/>
      <c r="H31" s="1671"/>
      <c r="I31" s="1671"/>
      <c r="J31" s="1671"/>
      <c r="K31" s="1671"/>
      <c r="L31" s="1671"/>
      <c r="M31" s="1671"/>
      <c r="N31" s="1671"/>
      <c r="O31" s="1671"/>
      <c r="P31" s="1671"/>
      <c r="Q31" s="1671"/>
      <c r="R31" s="1572"/>
      <c r="S31" s="1672"/>
      <c r="T31" s="1344"/>
      <c r="U31" s="3000"/>
      <c r="V31" s="3000"/>
      <c r="W31" s="2262"/>
      <c r="X31" s="2262"/>
      <c r="Y31" s="2262"/>
      <c r="Z31" s="2262"/>
      <c r="AA31" s="2262"/>
      <c r="AB31" s="2262"/>
      <c r="AC31" s="1663"/>
      <c r="AD31" s="1664"/>
      <c r="AE31" s="2262"/>
      <c r="AF31" s="2262"/>
      <c r="AG31" s="2262"/>
      <c r="AH31" s="2262"/>
      <c r="AI31" s="2262"/>
      <c r="AJ31" s="2262"/>
      <c r="AK31" s="2262"/>
      <c r="AL31" s="2262"/>
      <c r="AM31" s="2262"/>
      <c r="AN31" s="2262"/>
      <c r="AO31" s="2262"/>
      <c r="AP31" s="2262"/>
      <c r="AQ31" s="2262"/>
      <c r="AR31" s="2262"/>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c r="BP31" s="2262"/>
      <c r="BQ31" s="2262"/>
      <c r="BR31" s="2262"/>
      <c r="BS31" s="2262"/>
      <c r="BT31" s="2262"/>
      <c r="BU31" s="2262"/>
      <c r="BV31" s="2262"/>
      <c r="BW31" s="2262"/>
      <c r="BX31" s="2262"/>
      <c r="BY31" s="2262"/>
      <c r="BZ31" s="2262"/>
      <c r="CA31" s="2262"/>
      <c r="CB31" s="2262"/>
      <c r="CC31" s="2262"/>
      <c r="CD31" s="2262"/>
      <c r="CE31" s="2262"/>
      <c r="CF31" s="4717"/>
    </row>
    <row customHeight="1" ht="15" hidden="1">
      <c r="A32" s="1249" t="s">
        <v>134</v>
      </c>
      <c r="B32" s="1250"/>
      <c r="C32" s="1250" t="s">
        <v>22</v>
      </c>
      <c r="D32" s="3204" t="s">
        <v>634</v>
      </c>
      <c r="E32" s="3003" t="s">
        <v>114</v>
      </c>
      <c r="F32" s="3004"/>
      <c r="G32" s="3005"/>
      <c r="H32" s="3009" t="str">
        <f>IF(A32="","",INDEX(DIFFERENTIATION_UNMERGE_VD,MATCH(A32,DIFFERENTIATION_ID_DIFF,0)))</f>
        <v>Производство тепловой энергии. Некомбинированная выработка</v>
      </c>
      <c r="I32" s="3009"/>
      <c r="J32" s="3009"/>
      <c r="K32" s="3009"/>
      <c r="L32" s="3009"/>
      <c r="M32" s="3009"/>
      <c r="N32" s="3009"/>
      <c r="O32" s="3009"/>
      <c r="P32" s="3009"/>
      <c r="Q32" s="3009"/>
      <c r="R32" s="3009"/>
      <c r="S32" s="1345"/>
      <c r="T32" s="1342"/>
      <c r="U32" s="1251"/>
      <c r="V32" s="1251"/>
      <c r="W32" s="1252"/>
      <c r="X32" s="1252"/>
      <c r="Y32" s="1252"/>
      <c r="Z32" s="1252"/>
      <c r="AA32" s="1253"/>
      <c r="AB32" s="1254"/>
      <c r="AC32" s="3001"/>
      <c r="AD32" s="1255"/>
      <c r="AE32" s="1256" t="s">
        <v>22</v>
      </c>
      <c r="AF32" s="1256"/>
      <c r="AG32" s="1257" t="s">
        <v>627</v>
      </c>
      <c r="AH32" s="1258">
        <v>3</v>
      </c>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2"/>
      <c r="BW32" s="1252"/>
      <c r="BX32" s="1252"/>
      <c r="BY32" s="1252"/>
      <c r="BZ32" s="1252"/>
      <c r="CA32" s="1252"/>
      <c r="CB32" s="1252"/>
      <c r="CC32" s="1252"/>
      <c r="CD32" s="1252"/>
      <c r="CE32" s="1252"/>
      <c r="CF32" s="4706"/>
    </row>
    <row customHeight="1" ht="15" hidden="1">
      <c r="A33" s="1249"/>
      <c r="B33" s="1250"/>
      <c r="C33" s="1250"/>
      <c r="D33" s="3205"/>
      <c r="E33" s="3003" t="s">
        <v>582</v>
      </c>
      <c r="F33" s="3004"/>
      <c r="G33" s="3005"/>
      <c r="H33" s="3009" t="str">
        <f>IF(A32="","",INDEX(DIFFERENTIATION_UNMERGE_AREA,MATCH(A32,DIFFERENTIATION_ID_DIFF,0)))</f>
        <v>Территория 2</v>
      </c>
      <c r="I33" s="3009"/>
      <c r="J33" s="3009"/>
      <c r="K33" s="3009"/>
      <c r="L33" s="3009"/>
      <c r="M33" s="3009"/>
      <c r="N33" s="3009"/>
      <c r="O33" s="3009"/>
      <c r="P33" s="3009"/>
      <c r="Q33" s="3009"/>
      <c r="R33" s="3009"/>
      <c r="S33" s="1345"/>
      <c r="T33" s="1342"/>
      <c r="U33" s="1251"/>
      <c r="V33" s="1251"/>
      <c r="W33" s="1252"/>
      <c r="X33" s="1252"/>
      <c r="Y33" s="1252"/>
      <c r="Z33" s="1252"/>
      <c r="AA33" s="1253"/>
      <c r="AB33" s="1254"/>
      <c r="AC33" s="3001"/>
      <c r="AD33" s="1255"/>
      <c r="AE33" s="1256"/>
      <c r="AF33" s="1256"/>
      <c r="AG33" s="1257"/>
      <c r="AH33" s="1258"/>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2"/>
      <c r="BW33" s="1252"/>
      <c r="BX33" s="1252"/>
      <c r="BY33" s="1252"/>
      <c r="BZ33" s="1252"/>
      <c r="CA33" s="1252"/>
      <c r="CB33" s="1252"/>
      <c r="CC33" s="1252"/>
      <c r="CD33" s="1252"/>
      <c r="CE33" s="1252"/>
      <c r="CF33" s="4706"/>
    </row>
    <row customHeight="1" ht="15" hidden="1">
      <c r="A34" s="1249"/>
      <c r="B34" s="1250"/>
      <c r="C34" s="1250"/>
      <c r="D34" s="3205"/>
      <c r="E34" s="3003" t="s">
        <v>583</v>
      </c>
      <c r="F34" s="3004"/>
      <c r="G34" s="3005"/>
      <c r="H34" s="3009" t="str">
        <f>IF(A32="","",INDEX(DIFFERENTIATION_UNMERGE_SYSTEM,MATCH(A32,DIFFERENTIATION_ID_DIFF,0)))</f>
        <v>Котельная "Агромех" (п.г.т. Новорайчихинск)</v>
      </c>
      <c r="I34" s="3009"/>
      <c r="J34" s="3009"/>
      <c r="K34" s="3009"/>
      <c r="L34" s="3009"/>
      <c r="M34" s="3009"/>
      <c r="N34" s="3009"/>
      <c r="O34" s="3009"/>
      <c r="P34" s="3009"/>
      <c r="Q34" s="3009"/>
      <c r="R34" s="3009"/>
      <c r="S34" s="1345"/>
      <c r="T34" s="1342"/>
      <c r="U34" s="1251"/>
      <c r="V34" s="1251"/>
      <c r="W34" s="1252"/>
      <c r="X34" s="1252"/>
      <c r="Y34" s="1252"/>
      <c r="Z34" s="1252"/>
      <c r="AA34" s="1253"/>
      <c r="AB34" s="1254"/>
      <c r="AC34" s="3001"/>
      <c r="AD34" s="1255"/>
      <c r="AE34" s="1256"/>
      <c r="AF34" s="1256"/>
      <c r="AG34" s="1257"/>
      <c r="AH34" s="1258"/>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2"/>
      <c r="BW34" s="1252"/>
      <c r="BX34" s="1252"/>
      <c r="BY34" s="1252"/>
      <c r="BZ34" s="1252"/>
      <c r="CA34" s="1252"/>
      <c r="CB34" s="1252"/>
      <c r="CC34" s="1252"/>
      <c r="CD34" s="1252"/>
      <c r="CE34" s="1252"/>
      <c r="CF34" s="4706"/>
    </row>
    <row customHeight="1" ht="24.75" hidden="1">
      <c r="A35" s="2432"/>
      <c r="B35" s="1786"/>
      <c r="C35" s="1038"/>
      <c r="D35" s="3205"/>
      <c r="E35" s="3002" t="s">
        <v>628</v>
      </c>
      <c r="F35" s="3002"/>
      <c r="G35" s="3002"/>
      <c r="H35" s="3002"/>
      <c r="I35" s="3002"/>
      <c r="J35" s="3002"/>
      <c r="K35" s="3002"/>
      <c r="L35" s="3002"/>
      <c r="M35" s="3002"/>
      <c r="N35" s="3002"/>
      <c r="O35" s="3002"/>
      <c r="P35" s="3002"/>
      <c r="Q35" s="1184">
        <f>SUMIF(T36:T37,"i",Q36:Q37)</f>
        <v>0</v>
      </c>
      <c r="R35" s="1643"/>
      <c r="S35" s="2424" t="s">
        <v>629</v>
      </c>
      <c r="T35" s="1343" t="s">
        <v>630</v>
      </c>
      <c r="U35" s="3000">
        <v>1</v>
      </c>
      <c r="V35" s="3000" t="s">
        <v>593</v>
      </c>
      <c r="W35" s="1786"/>
      <c r="X35" s="1786"/>
      <c r="Y35" s="1786"/>
      <c r="Z35" s="1786"/>
      <c r="AA35" s="2262"/>
      <c r="AB35" s="1786"/>
      <c r="AC35" s="3001"/>
      <c r="AD35" s="1255"/>
      <c r="AE35" s="1786"/>
      <c r="AF35" s="1786"/>
      <c r="AG35" s="2262"/>
      <c r="AH35" s="2262"/>
      <c r="AI35" s="2262"/>
      <c r="AJ35" s="2262"/>
      <c r="AK35" s="2262"/>
      <c r="AL35" s="2262"/>
      <c r="AM35" s="2262"/>
      <c r="AN35" s="2262"/>
      <c r="AO35" s="2262"/>
      <c r="AP35" s="2262"/>
      <c r="AQ35" s="2262"/>
      <c r="AR35" s="2262"/>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c r="BP35" s="2262"/>
      <c r="BQ35" s="2262"/>
      <c r="BR35" s="2262"/>
      <c r="BS35" s="2262"/>
      <c r="BT35" s="2262"/>
      <c r="BU35" s="2262"/>
      <c r="BV35" s="1786"/>
      <c r="BW35" s="1786"/>
      <c r="BX35" s="1786"/>
      <c r="BY35" s="1786"/>
      <c r="BZ35" s="1786"/>
      <c r="CA35" s="1786"/>
      <c r="CB35" s="1786"/>
      <c r="CC35" s="1786"/>
      <c r="CD35" s="1786"/>
      <c r="CE35" s="1786"/>
      <c r="CF35" s="4706"/>
    </row>
    <row customHeight="1" ht="11.25" hidden="1">
      <c r="A36" s="2419"/>
      <c r="B36" s="2262"/>
      <c r="C36" s="2262"/>
      <c r="D36" s="3205"/>
      <c r="E36" s="1261"/>
      <c r="F36" s="1261">
        <v>0</v>
      </c>
      <c r="G36" s="1261"/>
      <c r="H36" s="1261"/>
      <c r="I36" s="1261"/>
      <c r="J36" s="1261"/>
      <c r="K36" s="1261"/>
      <c r="L36" s="1261"/>
      <c r="M36" s="1261"/>
      <c r="N36" s="1261"/>
      <c r="O36" s="1261"/>
      <c r="P36" s="1261"/>
      <c r="Q36" s="1261"/>
      <c r="R36" s="1261"/>
      <c r="S36" s="1262"/>
      <c r="T36" s="1344"/>
      <c r="U36" s="3000"/>
      <c r="V36" s="3000"/>
      <c r="W36" s="2262"/>
      <c r="X36" s="2262"/>
      <c r="Y36" s="2262"/>
      <c r="Z36" s="2262"/>
      <c r="AA36" s="2262"/>
      <c r="AB36" s="1786"/>
      <c r="AC36" s="3001"/>
      <c r="AD36" s="1255"/>
      <c r="AE36" s="1786"/>
      <c r="AF36" s="1786"/>
      <c r="AG36" s="2262"/>
      <c r="AH36" s="2262"/>
      <c r="AI36" s="2262"/>
      <c r="AJ36" s="2262"/>
      <c r="AK36" s="2262"/>
      <c r="AL36" s="2262"/>
      <c r="AM36" s="2262"/>
      <c r="AN36" s="2262"/>
      <c r="AO36" s="2262"/>
      <c r="AP36" s="2262"/>
      <c r="AQ36" s="2262"/>
      <c r="AR36" s="2262"/>
      <c r="AS36" s="2262"/>
      <c r="AT36" s="2262"/>
      <c r="AU36" s="2262"/>
      <c r="AV36" s="2262"/>
      <c r="AW36" s="2262"/>
      <c r="AX36" s="2262"/>
      <c r="AY36" s="2262"/>
      <c r="AZ36" s="2262"/>
      <c r="BA36" s="2262"/>
      <c r="BB36" s="2262"/>
      <c r="BC36" s="2262"/>
      <c r="BD36" s="2262"/>
      <c r="BE36" s="2262"/>
      <c r="BF36" s="2262"/>
      <c r="BG36" s="2262"/>
      <c r="BH36" s="2262"/>
      <c r="BI36" s="2262"/>
      <c r="BJ36" s="2262"/>
      <c r="BK36" s="2262"/>
      <c r="BL36" s="2262"/>
      <c r="BM36" s="2262"/>
      <c r="BN36" s="2262"/>
      <c r="BO36" s="2262"/>
      <c r="BP36" s="2262"/>
      <c r="BQ36" s="2262"/>
      <c r="BR36" s="2262"/>
      <c r="BS36" s="2262"/>
      <c r="BT36" s="2262"/>
      <c r="BU36" s="2262"/>
      <c r="BV36" s="2262"/>
      <c r="BW36" s="2262"/>
      <c r="BX36" s="2262"/>
      <c r="BY36" s="2262"/>
      <c r="BZ36" s="2262"/>
      <c r="CA36" s="2262"/>
      <c r="CB36" s="2262"/>
      <c r="CC36" s="2262"/>
      <c r="CD36" s="2262"/>
      <c r="CE36" s="2262"/>
      <c r="CF36" s="4706"/>
    </row>
    <row customHeight="1" ht="11.25" hidden="1">
      <c r="A37" s="2432"/>
      <c r="B37" s="1786"/>
      <c r="C37" s="1038"/>
      <c r="D37" s="3205"/>
      <c r="E37" s="1275" t="s">
        <v>22</v>
      </c>
      <c r="F37" s="1794" t="s">
        <v>22</v>
      </c>
      <c r="G37" s="1794" t="s">
        <v>633</v>
      </c>
      <c r="H37" s="1277" t="s">
        <v>22</v>
      </c>
      <c r="I37" s="1277"/>
      <c r="J37" s="1277"/>
      <c r="K37" s="1277"/>
      <c r="L37" s="1277"/>
      <c r="M37" s="1277"/>
      <c r="N37" s="1277"/>
      <c r="O37" s="1277"/>
      <c r="P37" s="1277"/>
      <c r="Q37" s="1277"/>
      <c r="R37" s="1278"/>
      <c r="S37" s="1279"/>
      <c r="T37" s="1344"/>
      <c r="U37" s="3000"/>
      <c r="V37" s="3000"/>
      <c r="W37" s="1786"/>
      <c r="X37" s="1786"/>
      <c r="Y37" s="1786"/>
      <c r="Z37" s="1786"/>
      <c r="AA37" s="2262"/>
      <c r="AB37" s="1786"/>
      <c r="AC37" s="3001"/>
      <c r="AD37" s="1255"/>
      <c r="AE37" s="1786"/>
      <c r="AF37" s="1786"/>
      <c r="AG37" s="2262"/>
      <c r="AH37" s="2262"/>
      <c r="AI37" s="2262"/>
      <c r="AJ37" s="2262"/>
      <c r="AK37" s="2262"/>
      <c r="AL37" s="2262"/>
      <c r="AM37" s="2262"/>
      <c r="AN37" s="2262"/>
      <c r="AO37" s="2262"/>
      <c r="AP37" s="2262"/>
      <c r="AQ37" s="2262"/>
      <c r="AR37" s="2262"/>
      <c r="AS37" s="2262"/>
      <c r="AT37" s="2262"/>
      <c r="AU37" s="2262"/>
      <c r="AV37" s="2262"/>
      <c r="AW37" s="2262"/>
      <c r="AX37" s="2262"/>
      <c r="AY37" s="2262"/>
      <c r="AZ37" s="2262"/>
      <c r="BA37" s="2262"/>
      <c r="BB37" s="2262"/>
      <c r="BC37" s="2262"/>
      <c r="BD37" s="2262"/>
      <c r="BE37" s="2262"/>
      <c r="BF37" s="2262"/>
      <c r="BG37" s="2262"/>
      <c r="BH37" s="2262"/>
      <c r="BI37" s="2262"/>
      <c r="BJ37" s="2262"/>
      <c r="BK37" s="2262"/>
      <c r="BL37" s="2262"/>
      <c r="BM37" s="2262"/>
      <c r="BN37" s="2262"/>
      <c r="BO37" s="2262"/>
      <c r="BP37" s="2262"/>
      <c r="BQ37" s="2262"/>
      <c r="BR37" s="2262"/>
      <c r="BS37" s="2262"/>
      <c r="BT37" s="2262"/>
      <c r="BU37" s="2262"/>
      <c r="BV37" s="1786"/>
      <c r="BW37" s="1786"/>
      <c r="BX37" s="1786"/>
      <c r="BY37" s="1786"/>
      <c r="BZ37" s="1786"/>
      <c r="CA37" s="1786"/>
      <c r="CB37" s="1786"/>
      <c r="CC37" s="1786"/>
      <c r="CD37" s="1786"/>
      <c r="CE37" s="1786"/>
      <c r="CF37" s="4706"/>
    </row>
    <row customHeight="1" ht="5.25" hidden="1">
      <c r="A38" s="2419"/>
      <c r="B38" s="2262"/>
      <c r="C38" s="2262"/>
      <c r="D38" s="3205"/>
      <c r="E38" s="1665"/>
      <c r="F38" s="1665"/>
      <c r="G38" s="1665"/>
      <c r="H38" s="1665"/>
      <c r="I38" s="1665"/>
      <c r="J38" s="1665"/>
      <c r="K38" s="1665"/>
      <c r="L38" s="1665"/>
      <c r="M38" s="1665"/>
      <c r="N38" s="1665"/>
      <c r="O38" s="1665"/>
      <c r="P38" s="1665"/>
      <c r="Q38" s="1666"/>
      <c r="R38" s="1667"/>
      <c r="S38" s="1668"/>
      <c r="T38" s="1343" t="s">
        <v>630</v>
      </c>
      <c r="U38" s="3000">
        <v>1</v>
      </c>
      <c r="V38" s="3000" t="s">
        <v>593</v>
      </c>
      <c r="W38" s="2262"/>
      <c r="X38" s="2262"/>
      <c r="Y38" s="2262"/>
      <c r="Z38" s="2262"/>
      <c r="AA38" s="2262"/>
      <c r="AB38" s="2262"/>
      <c r="AC38" s="1663"/>
      <c r="AD38" s="1664"/>
      <c r="AE38" s="2262"/>
      <c r="AF38" s="2262"/>
      <c r="AG38" s="2262"/>
      <c r="AH38" s="2262"/>
      <c r="AI38" s="2262"/>
      <c r="AJ38" s="2262"/>
      <c r="AK38" s="2262"/>
      <c r="AL38" s="2262"/>
      <c r="AM38" s="2262"/>
      <c r="AN38" s="2262"/>
      <c r="AO38" s="2262"/>
      <c r="AP38" s="2262"/>
      <c r="AQ38" s="2262"/>
      <c r="AR38" s="2262"/>
      <c r="AS38" s="2262"/>
      <c r="AT38" s="2262"/>
      <c r="AU38" s="2262"/>
      <c r="AV38" s="2262"/>
      <c r="AW38" s="2262"/>
      <c r="AX38" s="2262"/>
      <c r="AY38" s="2262"/>
      <c r="AZ38" s="2262"/>
      <c r="BA38" s="2262"/>
      <c r="BB38" s="2262"/>
      <c r="BC38" s="2262"/>
      <c r="BD38" s="2262"/>
      <c r="BE38" s="2262"/>
      <c r="BF38" s="2262"/>
      <c r="BG38" s="2262"/>
      <c r="BH38" s="2262"/>
      <c r="BI38" s="2262"/>
      <c r="BJ38" s="2262"/>
      <c r="BK38" s="2262"/>
      <c r="BL38" s="2262"/>
      <c r="BM38" s="2262"/>
      <c r="BN38" s="2262"/>
      <c r="BO38" s="2262"/>
      <c r="BP38" s="2262"/>
      <c r="BQ38" s="2262"/>
      <c r="BR38" s="2262"/>
      <c r="BS38" s="2262"/>
      <c r="BT38" s="2262"/>
      <c r="BU38" s="2262"/>
      <c r="BV38" s="2262"/>
      <c r="BW38" s="2262"/>
      <c r="BX38" s="2262"/>
      <c r="BY38" s="2262"/>
      <c r="BZ38" s="2262"/>
      <c r="CA38" s="2262"/>
      <c r="CB38" s="2262"/>
      <c r="CC38" s="2262"/>
      <c r="CD38" s="2262"/>
      <c r="CE38" s="2262"/>
      <c r="CF38" s="4717"/>
    </row>
    <row customHeight="1" ht="5.25" hidden="1">
      <c r="A39" s="2419"/>
      <c r="B39" s="2262"/>
      <c r="C39" s="2262"/>
      <c r="D39" s="3205"/>
      <c r="E39" s="1261"/>
      <c r="F39" s="1261"/>
      <c r="G39" s="1261"/>
      <c r="H39" s="1261"/>
      <c r="I39" s="1261"/>
      <c r="J39" s="1261"/>
      <c r="K39" s="1261"/>
      <c r="L39" s="1261"/>
      <c r="M39" s="1261"/>
      <c r="N39" s="1261"/>
      <c r="O39" s="1261"/>
      <c r="P39" s="1261"/>
      <c r="Q39" s="1261"/>
      <c r="R39" s="1261"/>
      <c r="S39" s="1262"/>
      <c r="T39" s="1344"/>
      <c r="U39" s="3000"/>
      <c r="V39" s="3000"/>
      <c r="W39" s="2262"/>
      <c r="X39" s="2262"/>
      <c r="Y39" s="2262"/>
      <c r="Z39" s="2262"/>
      <c r="AA39" s="2262"/>
      <c r="AB39" s="2262"/>
      <c r="AC39" s="1663"/>
      <c r="AD39" s="1664"/>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B39" s="2262"/>
      <c r="BC39" s="2262"/>
      <c r="BD39" s="2262"/>
      <c r="BE39" s="2262"/>
      <c r="BF39" s="2262"/>
      <c r="BG39" s="2262"/>
      <c r="BH39" s="2262"/>
      <c r="BI39" s="2262"/>
      <c r="BJ39" s="2262"/>
      <c r="BK39" s="2262"/>
      <c r="BL39" s="2262"/>
      <c r="BM39" s="2262"/>
      <c r="BN39" s="2262"/>
      <c r="BO39" s="2262"/>
      <c r="BP39" s="2262"/>
      <c r="BQ39" s="2262"/>
      <c r="BR39" s="2262"/>
      <c r="BS39" s="2262"/>
      <c r="BT39" s="2262"/>
      <c r="BU39" s="2262"/>
      <c r="BV39" s="2262"/>
      <c r="BW39" s="2262"/>
      <c r="BX39" s="2262"/>
      <c r="BY39" s="2262"/>
      <c r="BZ39" s="2262"/>
      <c r="CA39" s="2262"/>
      <c r="CB39" s="2262"/>
      <c r="CC39" s="2262"/>
      <c r="CD39" s="2262"/>
      <c r="CE39" s="2262"/>
      <c r="CF39" s="4717"/>
    </row>
    <row customHeight="1" ht="5.25" hidden="1">
      <c r="A40" s="2419"/>
      <c r="B40" s="2262"/>
      <c r="C40" s="2262"/>
      <c r="D40" s="3206"/>
      <c r="E40" s="1669"/>
      <c r="F40" s="1670"/>
      <c r="G40" s="1670"/>
      <c r="H40" s="1671"/>
      <c r="I40" s="1671"/>
      <c r="J40" s="1671"/>
      <c r="K40" s="1671"/>
      <c r="L40" s="1671"/>
      <c r="M40" s="1671"/>
      <c r="N40" s="1671"/>
      <c r="O40" s="1671"/>
      <c r="P40" s="1671"/>
      <c r="Q40" s="1671"/>
      <c r="R40" s="1572"/>
      <c r="S40" s="1672"/>
      <c r="T40" s="1344"/>
      <c r="U40" s="3000"/>
      <c r="V40" s="3000"/>
      <c r="W40" s="2262"/>
      <c r="X40" s="2262"/>
      <c r="Y40" s="2262"/>
      <c r="Z40" s="2262"/>
      <c r="AA40" s="2262"/>
      <c r="AB40" s="2262"/>
      <c r="AC40" s="1663"/>
      <c r="AD40" s="1664"/>
      <c r="AE40" s="2262"/>
      <c r="AF40" s="2262"/>
      <c r="AG40" s="2262"/>
      <c r="AH40" s="2262"/>
      <c r="AI40" s="2262"/>
      <c r="AJ40" s="2262"/>
      <c r="AK40" s="2262"/>
      <c r="AL40" s="2262"/>
      <c r="AM40" s="2262"/>
      <c r="AN40" s="2262"/>
      <c r="AO40" s="2262"/>
      <c r="AP40" s="2262"/>
      <c r="AQ40" s="2262"/>
      <c r="AR40" s="2262"/>
      <c r="AS40" s="2262"/>
      <c r="AT40" s="2262"/>
      <c r="AU40" s="2262"/>
      <c r="AV40" s="2262"/>
      <c r="AW40" s="2262"/>
      <c r="AX40" s="2262"/>
      <c r="AY40" s="2262"/>
      <c r="AZ40" s="2262"/>
      <c r="BA40" s="2262"/>
      <c r="BB40" s="2262"/>
      <c r="BC40" s="2262"/>
      <c r="BD40" s="2262"/>
      <c r="BE40" s="2262"/>
      <c r="BF40" s="2262"/>
      <c r="BG40" s="2262"/>
      <c r="BH40" s="2262"/>
      <c r="BI40" s="2262"/>
      <c r="BJ40" s="2262"/>
      <c r="BK40" s="2262"/>
      <c r="BL40" s="2262"/>
      <c r="BM40" s="2262"/>
      <c r="BN40" s="2262"/>
      <c r="BO40" s="2262"/>
      <c r="BP40" s="2262"/>
      <c r="BQ40" s="2262"/>
      <c r="BR40" s="2262"/>
      <c r="BS40" s="2262"/>
      <c r="BT40" s="2262"/>
      <c r="BU40" s="2262"/>
      <c r="BV40" s="2262"/>
      <c r="BW40" s="2262"/>
      <c r="BX40" s="2262"/>
      <c r="BY40" s="2262"/>
      <c r="BZ40" s="2262"/>
      <c r="CA40" s="2262"/>
      <c r="CB40" s="2262"/>
      <c r="CC40" s="2262"/>
      <c r="CD40" s="2262"/>
      <c r="CE40" s="2262"/>
      <c r="CF40" s="4717"/>
    </row>
    <row customHeight="1" ht="15" hidden="1">
      <c r="A41" s="1249" t="s">
        <v>139</v>
      </c>
      <c r="B41" s="1250"/>
      <c r="C41" s="1250" t="s">
        <v>22</v>
      </c>
      <c r="D41" s="3204" t="s">
        <v>635</v>
      </c>
      <c r="E41" s="3003" t="s">
        <v>114</v>
      </c>
      <c r="F41" s="3004"/>
      <c r="G41" s="3005"/>
      <c r="H41" s="3009" t="str">
        <f>IF(A41="","",INDEX(DIFFERENTIATION_UNMERGE_VD,MATCH(A41,DIFFERENTIATION_ID_DIFF,0)))</f>
        <v>Производство тепловой энергии. Комбинированная выработка с уст. мощностью производства электрической энергии 25 МВт и более</v>
      </c>
      <c r="I41" s="3009"/>
      <c r="J41" s="3009"/>
      <c r="K41" s="3009"/>
      <c r="L41" s="3009"/>
      <c r="M41" s="3009"/>
      <c r="N41" s="3009"/>
      <c r="O41" s="3009"/>
      <c r="P41" s="3009"/>
      <c r="Q41" s="3009"/>
      <c r="R41" s="3009"/>
      <c r="S41" s="1345"/>
      <c r="T41" s="1342"/>
      <c r="U41" s="1251"/>
      <c r="V41" s="1251"/>
      <c r="W41" s="1252"/>
      <c r="X41" s="1252"/>
      <c r="Y41" s="1252"/>
      <c r="Z41" s="1252"/>
      <c r="AA41" s="1253"/>
      <c r="AB41" s="1254"/>
      <c r="AC41" s="3001"/>
      <c r="AD41" s="1255"/>
      <c r="AE41" s="1256" t="s">
        <v>22</v>
      </c>
      <c r="AF41" s="1256"/>
      <c r="AG41" s="1257" t="s">
        <v>627</v>
      </c>
      <c r="AH41" s="1258">
        <v>3</v>
      </c>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2"/>
      <c r="BW41" s="1252"/>
      <c r="BX41" s="1252"/>
      <c r="BY41" s="1252"/>
      <c r="BZ41" s="1252"/>
      <c r="CA41" s="1252"/>
      <c r="CB41" s="1252"/>
      <c r="CC41" s="1252"/>
      <c r="CD41" s="1252"/>
      <c r="CE41" s="1252"/>
      <c r="CF41" s="4706"/>
    </row>
    <row customHeight="1" ht="15" hidden="1">
      <c r="A42" s="1249"/>
      <c r="B42" s="1250"/>
      <c r="C42" s="1250"/>
      <c r="D42" s="3205"/>
      <c r="E42" s="3003" t="s">
        <v>582</v>
      </c>
      <c r="F42" s="3004"/>
      <c r="G42" s="3005"/>
      <c r="H42" s="3009" t="str">
        <f>IF(A41="","",INDEX(DIFFERENTIATION_UNMERGE_AREA,MATCH(A41,DIFFERENTIATION_ID_DIFF,0)))</f>
        <v>Территория 3</v>
      </c>
      <c r="I42" s="3009"/>
      <c r="J42" s="3009"/>
      <c r="K42" s="3009"/>
      <c r="L42" s="3009"/>
      <c r="M42" s="3009"/>
      <c r="N42" s="3009"/>
      <c r="O42" s="3009"/>
      <c r="P42" s="3009"/>
      <c r="Q42" s="3009"/>
      <c r="R42" s="3009"/>
      <c r="S42" s="1345"/>
      <c r="T42" s="1342"/>
      <c r="U42" s="1251"/>
      <c r="V42" s="1251"/>
      <c r="W42" s="1252"/>
      <c r="X42" s="1252"/>
      <c r="Y42" s="1252"/>
      <c r="Z42" s="1252"/>
      <c r="AA42" s="1253"/>
      <c r="AB42" s="1254"/>
      <c r="AC42" s="3001"/>
      <c r="AD42" s="1255"/>
      <c r="AE42" s="1256"/>
      <c r="AF42" s="1256"/>
      <c r="AG42" s="1257"/>
      <c r="AH42" s="1258"/>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2"/>
      <c r="BW42" s="1252"/>
      <c r="BX42" s="1252"/>
      <c r="BY42" s="1252"/>
      <c r="BZ42" s="1252"/>
      <c r="CA42" s="1252"/>
      <c r="CB42" s="1252"/>
      <c r="CC42" s="1252"/>
      <c r="CD42" s="1252"/>
      <c r="CE42" s="1252"/>
      <c r="CF42" s="4706"/>
    </row>
    <row customHeight="1" ht="15" hidden="1">
      <c r="A43" s="1249"/>
      <c r="B43" s="1250"/>
      <c r="C43" s="1250"/>
      <c r="D43" s="3205"/>
      <c r="E43" s="3003" t="s">
        <v>583</v>
      </c>
      <c r="F43" s="3004"/>
      <c r="G43" s="3005"/>
      <c r="H43" s="3009" t="str">
        <f>IF(A41="","",INDEX(DIFFERENTIATION_UNMERGE_SYSTEM,MATCH(A41,DIFFERENTIATION_ID_DIFF,0)))</f>
        <v>Благовещенская ТЭЦ (с. Чигири)</v>
      </c>
      <c r="I43" s="3009"/>
      <c r="J43" s="3009"/>
      <c r="K43" s="3009"/>
      <c r="L43" s="3009"/>
      <c r="M43" s="3009"/>
      <c r="N43" s="3009"/>
      <c r="O43" s="3009"/>
      <c r="P43" s="3009"/>
      <c r="Q43" s="3009"/>
      <c r="R43" s="3009"/>
      <c r="S43" s="1345"/>
      <c r="T43" s="1342"/>
      <c r="U43" s="1251"/>
      <c r="V43" s="1251"/>
      <c r="W43" s="1252"/>
      <c r="X43" s="1252"/>
      <c r="Y43" s="1252"/>
      <c r="Z43" s="1252"/>
      <c r="AA43" s="1253"/>
      <c r="AB43" s="1254"/>
      <c r="AC43" s="3001"/>
      <c r="AD43" s="1255"/>
      <c r="AE43" s="1256"/>
      <c r="AF43" s="1256"/>
      <c r="AG43" s="1257"/>
      <c r="AH43" s="1258"/>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2"/>
      <c r="BW43" s="1252"/>
      <c r="BX43" s="1252"/>
      <c r="BY43" s="1252"/>
      <c r="BZ43" s="1252"/>
      <c r="CA43" s="1252"/>
      <c r="CB43" s="1252"/>
      <c r="CC43" s="1252"/>
      <c r="CD43" s="1252"/>
      <c r="CE43" s="1252"/>
      <c r="CF43" s="4706"/>
    </row>
    <row customHeight="1" ht="24.75" hidden="1">
      <c r="A44" s="2432"/>
      <c r="B44" s="1786"/>
      <c r="C44" s="1038"/>
      <c r="D44" s="3205"/>
      <c r="E44" s="3002" t="s">
        <v>628</v>
      </c>
      <c r="F44" s="3002"/>
      <c r="G44" s="3002"/>
      <c r="H44" s="3002"/>
      <c r="I44" s="3002"/>
      <c r="J44" s="3002"/>
      <c r="K44" s="3002"/>
      <c r="L44" s="3002"/>
      <c r="M44" s="3002"/>
      <c r="N44" s="3002"/>
      <c r="O44" s="3002"/>
      <c r="P44" s="3002"/>
      <c r="Q44" s="1184">
        <f>SUMIF(T45:T46,"i",Q45:Q46)</f>
        <v>0</v>
      </c>
      <c r="R44" s="1643"/>
      <c r="S44" s="2424" t="s">
        <v>629</v>
      </c>
      <c r="T44" s="1343" t="s">
        <v>630</v>
      </c>
      <c r="U44" s="3000">
        <v>1</v>
      </c>
      <c r="V44" s="3000" t="s">
        <v>593</v>
      </c>
      <c r="W44" s="1786"/>
      <c r="X44" s="1786"/>
      <c r="Y44" s="1786"/>
      <c r="Z44" s="1786"/>
      <c r="AA44" s="2262"/>
      <c r="AB44" s="1786"/>
      <c r="AC44" s="3001"/>
      <c r="AD44" s="1255"/>
      <c r="AE44" s="1786"/>
      <c r="AF44" s="1786"/>
      <c r="AG44" s="2262"/>
      <c r="AH44" s="2262"/>
      <c r="AI44" s="2262"/>
      <c r="AJ44" s="2262"/>
      <c r="AK44" s="2262"/>
      <c r="AL44" s="2262"/>
      <c r="AM44" s="2262"/>
      <c r="AN44" s="2262"/>
      <c r="AO44" s="2262"/>
      <c r="AP44" s="2262"/>
      <c r="AQ44" s="2262"/>
      <c r="AR44" s="2262"/>
      <c r="AS44" s="2262"/>
      <c r="AT44" s="2262"/>
      <c r="AU44" s="2262"/>
      <c r="AV44" s="2262"/>
      <c r="AW44" s="2262"/>
      <c r="AX44" s="2262"/>
      <c r="AY44" s="2262"/>
      <c r="AZ44" s="2262"/>
      <c r="BA44" s="2262"/>
      <c r="BB44" s="2262"/>
      <c r="BC44" s="2262"/>
      <c r="BD44" s="2262"/>
      <c r="BE44" s="2262"/>
      <c r="BF44" s="2262"/>
      <c r="BG44" s="2262"/>
      <c r="BH44" s="2262"/>
      <c r="BI44" s="2262"/>
      <c r="BJ44" s="2262"/>
      <c r="BK44" s="2262"/>
      <c r="BL44" s="2262"/>
      <c r="BM44" s="2262"/>
      <c r="BN44" s="2262"/>
      <c r="BO44" s="2262"/>
      <c r="BP44" s="2262"/>
      <c r="BQ44" s="2262"/>
      <c r="BR44" s="2262"/>
      <c r="BS44" s="2262"/>
      <c r="BT44" s="2262"/>
      <c r="BU44" s="2262"/>
      <c r="BV44" s="1786"/>
      <c r="BW44" s="1786"/>
      <c r="BX44" s="1786"/>
      <c r="BY44" s="1786"/>
      <c r="BZ44" s="1786"/>
      <c r="CA44" s="1786"/>
      <c r="CB44" s="1786"/>
      <c r="CC44" s="1786"/>
      <c r="CD44" s="1786"/>
      <c r="CE44" s="1786"/>
      <c r="CF44" s="4706"/>
    </row>
    <row customHeight="1" ht="11.25" hidden="1">
      <c r="A45" s="2419"/>
      <c r="B45" s="2262"/>
      <c r="C45" s="2262"/>
      <c r="D45" s="3205"/>
      <c r="E45" s="1261"/>
      <c r="F45" s="1261">
        <v>0</v>
      </c>
      <c r="G45" s="1261"/>
      <c r="H45" s="1261"/>
      <c r="I45" s="1261"/>
      <c r="J45" s="1261"/>
      <c r="K45" s="1261"/>
      <c r="L45" s="1261"/>
      <c r="M45" s="1261"/>
      <c r="N45" s="1261"/>
      <c r="O45" s="1261"/>
      <c r="P45" s="1261"/>
      <c r="Q45" s="1261"/>
      <c r="R45" s="1261"/>
      <c r="S45" s="1262"/>
      <c r="T45" s="1344"/>
      <c r="U45" s="3000"/>
      <c r="V45" s="3000"/>
      <c r="W45" s="2262"/>
      <c r="X45" s="2262"/>
      <c r="Y45" s="2262"/>
      <c r="Z45" s="2262"/>
      <c r="AA45" s="2262"/>
      <c r="AB45" s="1786"/>
      <c r="AC45" s="3001"/>
      <c r="AD45" s="1255"/>
      <c r="AE45" s="1786"/>
      <c r="AF45" s="1786"/>
      <c r="AG45" s="2262"/>
      <c r="AH45" s="2262"/>
      <c r="AI45" s="2262"/>
      <c r="AJ45" s="2262"/>
      <c r="AK45" s="2262"/>
      <c r="AL45" s="2262"/>
      <c r="AM45" s="2262"/>
      <c r="AN45" s="2262"/>
      <c r="AO45" s="2262"/>
      <c r="AP45" s="2262"/>
      <c r="AQ45" s="2262"/>
      <c r="AR45" s="2262"/>
      <c r="AS45" s="2262"/>
      <c r="AT45" s="2262"/>
      <c r="AU45" s="2262"/>
      <c r="AV45" s="2262"/>
      <c r="AW45" s="2262"/>
      <c r="AX45" s="2262"/>
      <c r="AY45" s="2262"/>
      <c r="AZ45" s="2262"/>
      <c r="BA45" s="2262"/>
      <c r="BB45" s="2262"/>
      <c r="BC45" s="2262"/>
      <c r="BD45" s="2262"/>
      <c r="BE45" s="2262"/>
      <c r="BF45" s="2262"/>
      <c r="BG45" s="2262"/>
      <c r="BH45" s="2262"/>
      <c r="BI45" s="2262"/>
      <c r="BJ45" s="2262"/>
      <c r="BK45" s="2262"/>
      <c r="BL45" s="2262"/>
      <c r="BM45" s="2262"/>
      <c r="BN45" s="2262"/>
      <c r="BO45" s="2262"/>
      <c r="BP45" s="2262"/>
      <c r="BQ45" s="2262"/>
      <c r="BR45" s="2262"/>
      <c r="BS45" s="2262"/>
      <c r="BT45" s="2262"/>
      <c r="BU45" s="2262"/>
      <c r="BV45" s="2262"/>
      <c r="BW45" s="2262"/>
      <c r="BX45" s="2262"/>
      <c r="BY45" s="2262"/>
      <c r="BZ45" s="2262"/>
      <c r="CA45" s="2262"/>
      <c r="CB45" s="2262"/>
      <c r="CC45" s="2262"/>
      <c r="CD45" s="2262"/>
      <c r="CE45" s="2262"/>
      <c r="CF45" s="4706"/>
    </row>
    <row customHeight="1" ht="11.25" hidden="1">
      <c r="A46" s="2432"/>
      <c r="B46" s="1786"/>
      <c r="C46" s="1038"/>
      <c r="D46" s="3205"/>
      <c r="E46" s="1275" t="s">
        <v>22</v>
      </c>
      <c r="F46" s="1794" t="s">
        <v>22</v>
      </c>
      <c r="G46" s="1794" t="s">
        <v>633</v>
      </c>
      <c r="H46" s="1277" t="s">
        <v>22</v>
      </c>
      <c r="I46" s="1277"/>
      <c r="J46" s="1277"/>
      <c r="K46" s="1277"/>
      <c r="L46" s="1277"/>
      <c r="M46" s="1277"/>
      <c r="N46" s="1277"/>
      <c r="O46" s="1277"/>
      <c r="P46" s="1277"/>
      <c r="Q46" s="1277"/>
      <c r="R46" s="1278"/>
      <c r="S46" s="1279"/>
      <c r="T46" s="1344"/>
      <c r="U46" s="3000"/>
      <c r="V46" s="3000"/>
      <c r="W46" s="1786"/>
      <c r="X46" s="1786"/>
      <c r="Y46" s="1786"/>
      <c r="Z46" s="1786"/>
      <c r="AA46" s="2262"/>
      <c r="AB46" s="1786"/>
      <c r="AC46" s="3001"/>
      <c r="AD46" s="1255"/>
      <c r="AE46" s="1786"/>
      <c r="AF46" s="1786"/>
      <c r="AG46" s="2262"/>
      <c r="AH46" s="2262"/>
      <c r="AI46" s="2262"/>
      <c r="AJ46" s="2262"/>
      <c r="AK46" s="2262"/>
      <c r="AL46" s="2262"/>
      <c r="AM46" s="2262"/>
      <c r="AN46" s="2262"/>
      <c r="AO46" s="2262"/>
      <c r="AP46" s="2262"/>
      <c r="AQ46" s="2262"/>
      <c r="AR46" s="2262"/>
      <c r="AS46" s="2262"/>
      <c r="AT46" s="2262"/>
      <c r="AU46" s="2262"/>
      <c r="AV46" s="2262"/>
      <c r="AW46" s="2262"/>
      <c r="AX46" s="2262"/>
      <c r="AY46" s="2262"/>
      <c r="AZ46" s="2262"/>
      <c r="BA46" s="2262"/>
      <c r="BB46" s="2262"/>
      <c r="BC46" s="2262"/>
      <c r="BD46" s="2262"/>
      <c r="BE46" s="2262"/>
      <c r="BF46" s="2262"/>
      <c r="BG46" s="2262"/>
      <c r="BH46" s="2262"/>
      <c r="BI46" s="2262"/>
      <c r="BJ46" s="2262"/>
      <c r="BK46" s="2262"/>
      <c r="BL46" s="2262"/>
      <c r="BM46" s="2262"/>
      <c r="BN46" s="2262"/>
      <c r="BO46" s="2262"/>
      <c r="BP46" s="2262"/>
      <c r="BQ46" s="2262"/>
      <c r="BR46" s="2262"/>
      <c r="BS46" s="2262"/>
      <c r="BT46" s="2262"/>
      <c r="BU46" s="2262"/>
      <c r="BV46" s="1786"/>
      <c r="BW46" s="1786"/>
      <c r="BX46" s="1786"/>
      <c r="BY46" s="1786"/>
      <c r="BZ46" s="1786"/>
      <c r="CA46" s="1786"/>
      <c r="CB46" s="1786"/>
      <c r="CC46" s="1786"/>
      <c r="CD46" s="1786"/>
      <c r="CE46" s="1786"/>
      <c r="CF46" s="4706"/>
    </row>
    <row customHeight="1" ht="5.25" hidden="1">
      <c r="A47" s="2419"/>
      <c r="B47" s="2262"/>
      <c r="C47" s="2262"/>
      <c r="D47" s="3205"/>
      <c r="E47" s="1665"/>
      <c r="F47" s="1665"/>
      <c r="G47" s="1665"/>
      <c r="H47" s="1665"/>
      <c r="I47" s="1665"/>
      <c r="J47" s="1665"/>
      <c r="K47" s="1665"/>
      <c r="L47" s="1665"/>
      <c r="M47" s="1665"/>
      <c r="N47" s="1665"/>
      <c r="O47" s="1665"/>
      <c r="P47" s="1665"/>
      <c r="Q47" s="1666"/>
      <c r="R47" s="1667"/>
      <c r="S47" s="1668"/>
      <c r="T47" s="1343" t="s">
        <v>630</v>
      </c>
      <c r="U47" s="3000">
        <v>1</v>
      </c>
      <c r="V47" s="3000" t="s">
        <v>593</v>
      </c>
      <c r="W47" s="2262"/>
      <c r="X47" s="2262"/>
      <c r="Y47" s="2262"/>
      <c r="Z47" s="2262"/>
      <c r="AA47" s="2262"/>
      <c r="AB47" s="2262"/>
      <c r="AC47" s="1663"/>
      <c r="AD47" s="1664"/>
      <c r="AE47" s="2262"/>
      <c r="AF47" s="2262"/>
      <c r="AG47" s="2262"/>
      <c r="AH47" s="2262"/>
      <c r="AI47" s="2262"/>
      <c r="AJ47" s="2262"/>
      <c r="AK47" s="2262"/>
      <c r="AL47" s="2262"/>
      <c r="AM47" s="2262"/>
      <c r="AN47" s="2262"/>
      <c r="AO47" s="2262"/>
      <c r="AP47" s="2262"/>
      <c r="AQ47" s="2262"/>
      <c r="AR47" s="2262"/>
      <c r="AS47" s="2262"/>
      <c r="AT47" s="2262"/>
      <c r="AU47" s="2262"/>
      <c r="AV47" s="2262"/>
      <c r="AW47" s="2262"/>
      <c r="AX47" s="2262"/>
      <c r="AY47" s="2262"/>
      <c r="AZ47" s="2262"/>
      <c r="BA47" s="2262"/>
      <c r="BB47" s="2262"/>
      <c r="BC47" s="2262"/>
      <c r="BD47" s="2262"/>
      <c r="BE47" s="2262"/>
      <c r="BF47" s="2262"/>
      <c r="BG47" s="2262"/>
      <c r="BH47" s="2262"/>
      <c r="BI47" s="2262"/>
      <c r="BJ47" s="2262"/>
      <c r="BK47" s="2262"/>
      <c r="BL47" s="2262"/>
      <c r="BM47" s="2262"/>
      <c r="BN47" s="2262"/>
      <c r="BO47" s="2262"/>
      <c r="BP47" s="2262"/>
      <c r="BQ47" s="2262"/>
      <c r="BR47" s="2262"/>
      <c r="BS47" s="2262"/>
      <c r="BT47" s="2262"/>
      <c r="BU47" s="2262"/>
      <c r="BV47" s="2262"/>
      <c r="BW47" s="2262"/>
      <c r="BX47" s="2262"/>
      <c r="BY47" s="2262"/>
      <c r="BZ47" s="2262"/>
      <c r="CA47" s="2262"/>
      <c r="CB47" s="2262"/>
      <c r="CC47" s="2262"/>
      <c r="CD47" s="2262"/>
      <c r="CE47" s="2262"/>
      <c r="CF47" s="4717"/>
    </row>
    <row customHeight="1" ht="5.25" hidden="1">
      <c r="A48" s="2419"/>
      <c r="B48" s="2262"/>
      <c r="C48" s="2262"/>
      <c r="D48" s="3205"/>
      <c r="E48" s="1261"/>
      <c r="F48" s="1261"/>
      <c r="G48" s="1261"/>
      <c r="H48" s="1261"/>
      <c r="I48" s="1261"/>
      <c r="J48" s="1261"/>
      <c r="K48" s="1261"/>
      <c r="L48" s="1261"/>
      <c r="M48" s="1261"/>
      <c r="N48" s="1261"/>
      <c r="O48" s="1261"/>
      <c r="P48" s="1261"/>
      <c r="Q48" s="1261"/>
      <c r="R48" s="1261"/>
      <c r="S48" s="1262"/>
      <c r="T48" s="1344"/>
      <c r="U48" s="3000"/>
      <c r="V48" s="3000"/>
      <c r="W48" s="2262"/>
      <c r="X48" s="2262"/>
      <c r="Y48" s="2262"/>
      <c r="Z48" s="2262"/>
      <c r="AA48" s="2262"/>
      <c r="AB48" s="2262"/>
      <c r="AC48" s="1663"/>
      <c r="AD48" s="1664"/>
      <c r="AE48" s="2262"/>
      <c r="AF48" s="2262"/>
      <c r="AG48" s="2262"/>
      <c r="AH48" s="2262"/>
      <c r="AI48" s="2262"/>
      <c r="AJ48" s="2262"/>
      <c r="AK48" s="2262"/>
      <c r="AL48" s="2262"/>
      <c r="AM48" s="2262"/>
      <c r="AN48" s="2262"/>
      <c r="AO48" s="2262"/>
      <c r="AP48" s="2262"/>
      <c r="AQ48" s="2262"/>
      <c r="AR48" s="2262"/>
      <c r="AS48" s="2262"/>
      <c r="AT48" s="2262"/>
      <c r="AU48" s="2262"/>
      <c r="AV48" s="2262"/>
      <c r="AW48" s="2262"/>
      <c r="AX48" s="2262"/>
      <c r="AY48" s="2262"/>
      <c r="AZ48" s="2262"/>
      <c r="BA48" s="2262"/>
      <c r="BB48" s="2262"/>
      <c r="BC48" s="2262"/>
      <c r="BD48" s="2262"/>
      <c r="BE48" s="2262"/>
      <c r="BF48" s="2262"/>
      <c r="BG48" s="2262"/>
      <c r="BH48" s="2262"/>
      <c r="BI48" s="2262"/>
      <c r="BJ48" s="2262"/>
      <c r="BK48" s="2262"/>
      <c r="BL48" s="2262"/>
      <c r="BM48" s="2262"/>
      <c r="BN48" s="2262"/>
      <c r="BO48" s="2262"/>
      <c r="BP48" s="2262"/>
      <c r="BQ48" s="2262"/>
      <c r="BR48" s="2262"/>
      <c r="BS48" s="2262"/>
      <c r="BT48" s="2262"/>
      <c r="BU48" s="2262"/>
      <c r="BV48" s="2262"/>
      <c r="BW48" s="2262"/>
      <c r="BX48" s="2262"/>
      <c r="BY48" s="2262"/>
      <c r="BZ48" s="2262"/>
      <c r="CA48" s="2262"/>
      <c r="CB48" s="2262"/>
      <c r="CC48" s="2262"/>
      <c r="CD48" s="2262"/>
      <c r="CE48" s="2262"/>
      <c r="CF48" s="4717"/>
    </row>
    <row customHeight="1" ht="5.25" hidden="1">
      <c r="A49" s="2419"/>
      <c r="B49" s="2262"/>
      <c r="C49" s="2262"/>
      <c r="D49" s="3206"/>
      <c r="E49" s="1669"/>
      <c r="F49" s="1670"/>
      <c r="G49" s="1670"/>
      <c r="H49" s="1671"/>
      <c r="I49" s="1671"/>
      <c r="J49" s="1671"/>
      <c r="K49" s="1671"/>
      <c r="L49" s="1671"/>
      <c r="M49" s="1671"/>
      <c r="N49" s="1671"/>
      <c r="O49" s="1671"/>
      <c r="P49" s="1671"/>
      <c r="Q49" s="1671"/>
      <c r="R49" s="1572"/>
      <c r="S49" s="1672"/>
      <c r="T49" s="1344"/>
      <c r="U49" s="3000"/>
      <c r="V49" s="3000"/>
      <c r="W49" s="2262"/>
      <c r="X49" s="2262"/>
      <c r="Y49" s="2262"/>
      <c r="Z49" s="2262"/>
      <c r="AA49" s="2262"/>
      <c r="AB49" s="2262"/>
      <c r="AC49" s="1663"/>
      <c r="AD49" s="1664"/>
      <c r="AE49" s="2262"/>
      <c r="AF49" s="2262"/>
      <c r="AG49" s="2262"/>
      <c r="AH49" s="2262"/>
      <c r="AI49" s="2262"/>
      <c r="AJ49" s="2262"/>
      <c r="AK49" s="2262"/>
      <c r="AL49" s="2262"/>
      <c r="AM49" s="2262"/>
      <c r="AN49" s="2262"/>
      <c r="AO49" s="2262"/>
      <c r="AP49" s="2262"/>
      <c r="AQ49" s="2262"/>
      <c r="AR49" s="2262"/>
      <c r="AS49" s="2262"/>
      <c r="AT49" s="2262"/>
      <c r="AU49" s="2262"/>
      <c r="AV49" s="2262"/>
      <c r="AW49" s="2262"/>
      <c r="AX49" s="2262"/>
      <c r="AY49" s="2262"/>
      <c r="AZ49" s="2262"/>
      <c r="BA49" s="2262"/>
      <c r="BB49" s="2262"/>
      <c r="BC49" s="2262"/>
      <c r="BD49" s="2262"/>
      <c r="BE49" s="2262"/>
      <c r="BF49" s="2262"/>
      <c r="BG49" s="2262"/>
      <c r="BH49" s="2262"/>
      <c r="BI49" s="2262"/>
      <c r="BJ49" s="2262"/>
      <c r="BK49" s="2262"/>
      <c r="BL49" s="2262"/>
      <c r="BM49" s="2262"/>
      <c r="BN49" s="2262"/>
      <c r="BO49" s="2262"/>
      <c r="BP49" s="2262"/>
      <c r="BQ49" s="2262"/>
      <c r="BR49" s="2262"/>
      <c r="BS49" s="2262"/>
      <c r="BT49" s="2262"/>
      <c r="BU49" s="2262"/>
      <c r="BV49" s="2262"/>
      <c r="BW49" s="2262"/>
      <c r="BX49" s="2262"/>
      <c r="BY49" s="2262"/>
      <c r="BZ49" s="2262"/>
      <c r="CA49" s="2262"/>
      <c r="CB49" s="2262"/>
      <c r="CC49" s="2262"/>
      <c r="CD49" s="2262"/>
      <c r="CE49" s="2262"/>
      <c r="CF49" s="4717"/>
    </row>
    <row customHeight="1" ht="15" hidden="1">
      <c r="A50" s="1249" t="s">
        <v>137</v>
      </c>
      <c r="B50" s="1250"/>
      <c r="C50" s="1250" t="s">
        <v>22</v>
      </c>
      <c r="D50" s="3204" t="s">
        <v>636</v>
      </c>
      <c r="E50" s="3003" t="s">
        <v>114</v>
      </c>
      <c r="F50" s="3004"/>
      <c r="G50" s="3005"/>
      <c r="H50" s="3009" t="str">
        <f>IF(A50="","",INDEX(DIFFERENTIATION_UNMERGE_VD,MATCH(A50,DIFFERENTIATION_ID_DIFF,0)))</f>
        <v>Производство тепловой энергии. Некомбинированная выработка</v>
      </c>
      <c r="I50" s="3009"/>
      <c r="J50" s="3009"/>
      <c r="K50" s="3009"/>
      <c r="L50" s="3009"/>
      <c r="M50" s="3009"/>
      <c r="N50" s="3009"/>
      <c r="O50" s="3009"/>
      <c r="P50" s="3009"/>
      <c r="Q50" s="3009"/>
      <c r="R50" s="3009"/>
      <c r="S50" s="1345"/>
      <c r="T50" s="1342"/>
      <c r="U50" s="1251"/>
      <c r="V50" s="1251"/>
      <c r="W50" s="1252"/>
      <c r="X50" s="1252"/>
      <c r="Y50" s="1252"/>
      <c r="Z50" s="1252"/>
      <c r="AA50" s="1253"/>
      <c r="AB50" s="1254"/>
      <c r="AC50" s="3001"/>
      <c r="AD50" s="1255"/>
      <c r="AE50" s="1256" t="s">
        <v>22</v>
      </c>
      <c r="AF50" s="1256"/>
      <c r="AG50" s="1257" t="s">
        <v>627</v>
      </c>
      <c r="AH50" s="1258">
        <v>3</v>
      </c>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2"/>
      <c r="BW50" s="1252"/>
      <c r="BX50" s="1252"/>
      <c r="BY50" s="1252"/>
      <c r="BZ50" s="1252"/>
      <c r="CA50" s="1252"/>
      <c r="CB50" s="1252"/>
      <c r="CC50" s="1252"/>
      <c r="CD50" s="1252"/>
      <c r="CE50" s="1252"/>
      <c r="CF50" s="4706"/>
    </row>
    <row customHeight="1" ht="15" hidden="1">
      <c r="A51" s="1249"/>
      <c r="B51" s="1250"/>
      <c r="C51" s="1250"/>
      <c r="D51" s="3205"/>
      <c r="E51" s="3003" t="s">
        <v>582</v>
      </c>
      <c r="F51" s="3004"/>
      <c r="G51" s="3005"/>
      <c r="H51" s="3009" t="str">
        <f>IF(A50="","",INDEX(DIFFERENTIATION_UNMERGE_AREA,MATCH(A50,DIFFERENTIATION_ID_DIFF,0)))</f>
        <v>Территория 3</v>
      </c>
      <c r="I51" s="3009"/>
      <c r="J51" s="3009"/>
      <c r="K51" s="3009"/>
      <c r="L51" s="3009"/>
      <c r="M51" s="3009"/>
      <c r="N51" s="3009"/>
      <c r="O51" s="3009"/>
      <c r="P51" s="3009"/>
      <c r="Q51" s="3009"/>
      <c r="R51" s="3009"/>
      <c r="S51" s="1345"/>
      <c r="T51" s="1342"/>
      <c r="U51" s="1251"/>
      <c r="V51" s="1251"/>
      <c r="W51" s="1252"/>
      <c r="X51" s="1252"/>
      <c r="Y51" s="1252"/>
      <c r="Z51" s="1252"/>
      <c r="AA51" s="1253"/>
      <c r="AB51" s="1254"/>
      <c r="AC51" s="3001"/>
      <c r="AD51" s="1255"/>
      <c r="AE51" s="1256"/>
      <c r="AF51" s="1256"/>
      <c r="AG51" s="1257"/>
      <c r="AH51" s="1258"/>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2"/>
      <c r="BW51" s="1252"/>
      <c r="BX51" s="1252"/>
      <c r="BY51" s="1252"/>
      <c r="BZ51" s="1252"/>
      <c r="CA51" s="1252"/>
      <c r="CB51" s="1252"/>
      <c r="CC51" s="1252"/>
      <c r="CD51" s="1252"/>
      <c r="CE51" s="1252"/>
      <c r="CF51" s="4706"/>
    </row>
    <row customHeight="1" ht="15" hidden="1">
      <c r="A52" s="1249"/>
      <c r="B52" s="1250"/>
      <c r="C52" s="1250"/>
      <c r="D52" s="3205"/>
      <c r="E52" s="3003" t="s">
        <v>583</v>
      </c>
      <c r="F52" s="3004"/>
      <c r="G52" s="3005"/>
      <c r="H52" s="3009" t="str">
        <f>IF(A50="","",INDEX(DIFFERENTIATION_UNMERGE_SYSTEM,MATCH(A50,DIFFERENTIATION_ID_DIFF,0)))</f>
        <v>Котельная "Центральная" (с. Чигири ) </v>
      </c>
      <c r="I52" s="3009"/>
      <c r="J52" s="3009"/>
      <c r="K52" s="3009"/>
      <c r="L52" s="3009"/>
      <c r="M52" s="3009"/>
      <c r="N52" s="3009"/>
      <c r="O52" s="3009"/>
      <c r="P52" s="3009"/>
      <c r="Q52" s="3009"/>
      <c r="R52" s="3009"/>
      <c r="S52" s="1345"/>
      <c r="T52" s="1342"/>
      <c r="U52" s="1251"/>
      <c r="V52" s="1251"/>
      <c r="W52" s="1252"/>
      <c r="X52" s="1252"/>
      <c r="Y52" s="1252"/>
      <c r="Z52" s="1252"/>
      <c r="AA52" s="1253"/>
      <c r="AB52" s="1254"/>
      <c r="AC52" s="3001"/>
      <c r="AD52" s="1255"/>
      <c r="AE52" s="1256"/>
      <c r="AF52" s="1256"/>
      <c r="AG52" s="1257"/>
      <c r="AH52" s="1258"/>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2"/>
      <c r="BW52" s="1252"/>
      <c r="BX52" s="1252"/>
      <c r="BY52" s="1252"/>
      <c r="BZ52" s="1252"/>
      <c r="CA52" s="1252"/>
      <c r="CB52" s="1252"/>
      <c r="CC52" s="1252"/>
      <c r="CD52" s="1252"/>
      <c r="CE52" s="1252"/>
      <c r="CF52" s="4706"/>
    </row>
    <row customHeight="1" ht="24.75" hidden="1">
      <c r="A53" s="2432"/>
      <c r="B53" s="1786"/>
      <c r="C53" s="1038"/>
      <c r="D53" s="3205"/>
      <c r="E53" s="3002" t="s">
        <v>628</v>
      </c>
      <c r="F53" s="3002"/>
      <c r="G53" s="3002"/>
      <c r="H53" s="3002"/>
      <c r="I53" s="3002"/>
      <c r="J53" s="3002"/>
      <c r="K53" s="3002"/>
      <c r="L53" s="3002"/>
      <c r="M53" s="3002"/>
      <c r="N53" s="3002"/>
      <c r="O53" s="3002"/>
      <c r="P53" s="3002"/>
      <c r="Q53" s="1184">
        <f>SUMIF(T54:T55,"i",Q54:Q55)</f>
        <v>0</v>
      </c>
      <c r="R53" s="1643"/>
      <c r="S53" s="2424" t="s">
        <v>629</v>
      </c>
      <c r="T53" s="1343" t="s">
        <v>630</v>
      </c>
      <c r="U53" s="3000">
        <v>1</v>
      </c>
      <c r="V53" s="3000" t="s">
        <v>593</v>
      </c>
      <c r="W53" s="1786"/>
      <c r="X53" s="1786"/>
      <c r="Y53" s="1786"/>
      <c r="Z53" s="1786"/>
      <c r="AA53" s="2262"/>
      <c r="AB53" s="1786"/>
      <c r="AC53" s="3001"/>
      <c r="AD53" s="1255"/>
      <c r="AE53" s="1786"/>
      <c r="AF53" s="1786"/>
      <c r="AG53" s="2262"/>
      <c r="AH53" s="2262"/>
      <c r="AI53" s="2262"/>
      <c r="AJ53" s="2262"/>
      <c r="AK53" s="2262"/>
      <c r="AL53" s="2262"/>
      <c r="AM53" s="2262"/>
      <c r="AN53" s="2262"/>
      <c r="AO53" s="2262"/>
      <c r="AP53" s="2262"/>
      <c r="AQ53" s="2262"/>
      <c r="AR53" s="2262"/>
      <c r="AS53" s="2262"/>
      <c r="AT53" s="2262"/>
      <c r="AU53" s="2262"/>
      <c r="AV53" s="2262"/>
      <c r="AW53" s="2262"/>
      <c r="AX53" s="2262"/>
      <c r="AY53" s="2262"/>
      <c r="AZ53" s="2262"/>
      <c r="BA53" s="2262"/>
      <c r="BB53" s="2262"/>
      <c r="BC53" s="2262"/>
      <c r="BD53" s="2262"/>
      <c r="BE53" s="2262"/>
      <c r="BF53" s="2262"/>
      <c r="BG53" s="2262"/>
      <c r="BH53" s="2262"/>
      <c r="BI53" s="2262"/>
      <c r="BJ53" s="2262"/>
      <c r="BK53" s="2262"/>
      <c r="BL53" s="2262"/>
      <c r="BM53" s="2262"/>
      <c r="BN53" s="2262"/>
      <c r="BO53" s="2262"/>
      <c r="BP53" s="2262"/>
      <c r="BQ53" s="2262"/>
      <c r="BR53" s="2262"/>
      <c r="BS53" s="2262"/>
      <c r="BT53" s="2262"/>
      <c r="BU53" s="2262"/>
      <c r="BV53" s="1786"/>
      <c r="BW53" s="1786"/>
      <c r="BX53" s="1786"/>
      <c r="BY53" s="1786"/>
      <c r="BZ53" s="1786"/>
      <c r="CA53" s="1786"/>
      <c r="CB53" s="1786"/>
      <c r="CC53" s="1786"/>
      <c r="CD53" s="1786"/>
      <c r="CE53" s="1786"/>
      <c r="CF53" s="4706"/>
    </row>
    <row customHeight="1" ht="11.25" hidden="1">
      <c r="A54" s="2419"/>
      <c r="B54" s="2262"/>
      <c r="C54" s="2262"/>
      <c r="D54" s="3205"/>
      <c r="E54" s="1261"/>
      <c r="F54" s="1261">
        <v>0</v>
      </c>
      <c r="G54" s="1261"/>
      <c r="H54" s="1261"/>
      <c r="I54" s="1261"/>
      <c r="J54" s="1261"/>
      <c r="K54" s="1261"/>
      <c r="L54" s="1261"/>
      <c r="M54" s="1261"/>
      <c r="N54" s="1261"/>
      <c r="O54" s="1261"/>
      <c r="P54" s="1261"/>
      <c r="Q54" s="1261"/>
      <c r="R54" s="1261"/>
      <c r="S54" s="1262"/>
      <c r="T54" s="1344"/>
      <c r="U54" s="3000"/>
      <c r="V54" s="3000"/>
      <c r="W54" s="2262"/>
      <c r="X54" s="2262"/>
      <c r="Y54" s="2262"/>
      <c r="Z54" s="2262"/>
      <c r="AA54" s="2262"/>
      <c r="AB54" s="1786"/>
      <c r="AC54" s="3001"/>
      <c r="AD54" s="1255"/>
      <c r="AE54" s="1786"/>
      <c r="AF54" s="1786"/>
      <c r="AG54" s="2262"/>
      <c r="AH54" s="2262"/>
      <c r="AI54" s="2262"/>
      <c r="AJ54" s="2262"/>
      <c r="AK54" s="2262"/>
      <c r="AL54" s="2262"/>
      <c r="AM54" s="2262"/>
      <c r="AN54" s="2262"/>
      <c r="AO54" s="2262"/>
      <c r="AP54" s="2262"/>
      <c r="AQ54" s="2262"/>
      <c r="AR54" s="2262"/>
      <c r="AS54" s="2262"/>
      <c r="AT54" s="2262"/>
      <c r="AU54" s="2262"/>
      <c r="AV54" s="2262"/>
      <c r="AW54" s="2262"/>
      <c r="AX54" s="2262"/>
      <c r="AY54" s="2262"/>
      <c r="AZ54" s="2262"/>
      <c r="BA54" s="2262"/>
      <c r="BB54" s="2262"/>
      <c r="BC54" s="2262"/>
      <c r="BD54" s="2262"/>
      <c r="BE54" s="2262"/>
      <c r="BF54" s="2262"/>
      <c r="BG54" s="2262"/>
      <c r="BH54" s="2262"/>
      <c r="BI54" s="2262"/>
      <c r="BJ54" s="2262"/>
      <c r="BK54" s="2262"/>
      <c r="BL54" s="2262"/>
      <c r="BM54" s="2262"/>
      <c r="BN54" s="2262"/>
      <c r="BO54" s="2262"/>
      <c r="BP54" s="2262"/>
      <c r="BQ54" s="2262"/>
      <c r="BR54" s="2262"/>
      <c r="BS54" s="2262"/>
      <c r="BT54" s="2262"/>
      <c r="BU54" s="2262"/>
      <c r="BV54" s="2262"/>
      <c r="BW54" s="2262"/>
      <c r="BX54" s="2262"/>
      <c r="BY54" s="2262"/>
      <c r="BZ54" s="2262"/>
      <c r="CA54" s="2262"/>
      <c r="CB54" s="2262"/>
      <c r="CC54" s="2262"/>
      <c r="CD54" s="2262"/>
      <c r="CE54" s="2262"/>
      <c r="CF54" s="4706"/>
    </row>
    <row customHeight="1" ht="11.25" hidden="1">
      <c r="A55" s="2432"/>
      <c r="B55" s="1786"/>
      <c r="C55" s="1038"/>
      <c r="D55" s="3205"/>
      <c r="E55" s="1275" t="s">
        <v>22</v>
      </c>
      <c r="F55" s="1794" t="s">
        <v>22</v>
      </c>
      <c r="G55" s="1794" t="s">
        <v>633</v>
      </c>
      <c r="H55" s="1277" t="s">
        <v>22</v>
      </c>
      <c r="I55" s="1277"/>
      <c r="J55" s="1277"/>
      <c r="K55" s="1277"/>
      <c r="L55" s="1277"/>
      <c r="M55" s="1277"/>
      <c r="N55" s="1277"/>
      <c r="O55" s="1277"/>
      <c r="P55" s="1277"/>
      <c r="Q55" s="1277"/>
      <c r="R55" s="1278"/>
      <c r="S55" s="1279"/>
      <c r="T55" s="1344"/>
      <c r="U55" s="3000"/>
      <c r="V55" s="3000"/>
      <c r="W55" s="1786"/>
      <c r="X55" s="1786"/>
      <c r="Y55" s="1786"/>
      <c r="Z55" s="1786"/>
      <c r="AA55" s="2262"/>
      <c r="AB55" s="1786"/>
      <c r="AC55" s="3001"/>
      <c r="AD55" s="1255"/>
      <c r="AE55" s="1786"/>
      <c r="AF55" s="1786"/>
      <c r="AG55" s="2262"/>
      <c r="AH55" s="2262"/>
      <c r="AI55" s="2262"/>
      <c r="AJ55" s="2262"/>
      <c r="AK55" s="2262"/>
      <c r="AL55" s="2262"/>
      <c r="AM55" s="2262"/>
      <c r="AN55" s="2262"/>
      <c r="AO55" s="2262"/>
      <c r="AP55" s="2262"/>
      <c r="AQ55" s="2262"/>
      <c r="AR55" s="2262"/>
      <c r="AS55" s="2262"/>
      <c r="AT55" s="2262"/>
      <c r="AU55" s="2262"/>
      <c r="AV55" s="2262"/>
      <c r="AW55" s="2262"/>
      <c r="AX55" s="2262"/>
      <c r="AY55" s="2262"/>
      <c r="AZ55" s="2262"/>
      <c r="BA55" s="2262"/>
      <c r="BB55" s="2262"/>
      <c r="BC55" s="2262"/>
      <c r="BD55" s="2262"/>
      <c r="BE55" s="2262"/>
      <c r="BF55" s="2262"/>
      <c r="BG55" s="2262"/>
      <c r="BH55" s="2262"/>
      <c r="BI55" s="2262"/>
      <c r="BJ55" s="2262"/>
      <c r="BK55" s="2262"/>
      <c r="BL55" s="2262"/>
      <c r="BM55" s="2262"/>
      <c r="BN55" s="2262"/>
      <c r="BO55" s="2262"/>
      <c r="BP55" s="2262"/>
      <c r="BQ55" s="2262"/>
      <c r="BR55" s="2262"/>
      <c r="BS55" s="2262"/>
      <c r="BT55" s="2262"/>
      <c r="BU55" s="2262"/>
      <c r="BV55" s="1786"/>
      <c r="BW55" s="1786"/>
      <c r="BX55" s="1786"/>
      <c r="BY55" s="1786"/>
      <c r="BZ55" s="1786"/>
      <c r="CA55" s="1786"/>
      <c r="CB55" s="1786"/>
      <c r="CC55" s="1786"/>
      <c r="CD55" s="1786"/>
      <c r="CE55" s="1786"/>
      <c r="CF55" s="4706"/>
    </row>
    <row customHeight="1" ht="5.25" hidden="1">
      <c r="A56" s="2419"/>
      <c r="B56" s="2262"/>
      <c r="C56" s="2262"/>
      <c r="D56" s="3205"/>
      <c r="E56" s="1665"/>
      <c r="F56" s="1665"/>
      <c r="G56" s="1665"/>
      <c r="H56" s="1665"/>
      <c r="I56" s="1665"/>
      <c r="J56" s="1665"/>
      <c r="K56" s="1665"/>
      <c r="L56" s="1665"/>
      <c r="M56" s="1665"/>
      <c r="N56" s="1665"/>
      <c r="O56" s="1665"/>
      <c r="P56" s="1665"/>
      <c r="Q56" s="1666"/>
      <c r="R56" s="1667"/>
      <c r="S56" s="1668"/>
      <c r="T56" s="1343" t="s">
        <v>630</v>
      </c>
      <c r="U56" s="3000">
        <v>1</v>
      </c>
      <c r="V56" s="3000" t="s">
        <v>593</v>
      </c>
      <c r="W56" s="2262"/>
      <c r="X56" s="2262"/>
      <c r="Y56" s="2262"/>
      <c r="Z56" s="2262"/>
      <c r="AA56" s="2262"/>
      <c r="AB56" s="2262"/>
      <c r="AC56" s="1663"/>
      <c r="AD56" s="1664"/>
      <c r="AE56" s="2262"/>
      <c r="AF56" s="2262"/>
      <c r="AG56" s="2262"/>
      <c r="AH56" s="2262"/>
      <c r="AI56" s="2262"/>
      <c r="AJ56" s="2262"/>
      <c r="AK56" s="2262"/>
      <c r="AL56" s="2262"/>
      <c r="AM56" s="2262"/>
      <c r="AN56" s="2262"/>
      <c r="AO56" s="2262"/>
      <c r="AP56" s="2262"/>
      <c r="AQ56" s="2262"/>
      <c r="AR56" s="2262"/>
      <c r="AS56" s="2262"/>
      <c r="AT56" s="2262"/>
      <c r="AU56" s="2262"/>
      <c r="AV56" s="2262"/>
      <c r="AW56" s="2262"/>
      <c r="AX56" s="2262"/>
      <c r="AY56" s="2262"/>
      <c r="AZ56" s="2262"/>
      <c r="BA56" s="2262"/>
      <c r="BB56" s="2262"/>
      <c r="BC56" s="2262"/>
      <c r="BD56" s="2262"/>
      <c r="BE56" s="2262"/>
      <c r="BF56" s="2262"/>
      <c r="BG56" s="2262"/>
      <c r="BH56" s="2262"/>
      <c r="BI56" s="2262"/>
      <c r="BJ56" s="2262"/>
      <c r="BK56" s="2262"/>
      <c r="BL56" s="2262"/>
      <c r="BM56" s="2262"/>
      <c r="BN56" s="2262"/>
      <c r="BO56" s="2262"/>
      <c r="BP56" s="2262"/>
      <c r="BQ56" s="2262"/>
      <c r="BR56" s="2262"/>
      <c r="BS56" s="2262"/>
      <c r="BT56" s="2262"/>
      <c r="BU56" s="2262"/>
      <c r="BV56" s="2262"/>
      <c r="BW56" s="2262"/>
      <c r="BX56" s="2262"/>
      <c r="BY56" s="2262"/>
      <c r="BZ56" s="2262"/>
      <c r="CA56" s="2262"/>
      <c r="CB56" s="2262"/>
      <c r="CC56" s="2262"/>
      <c r="CD56" s="2262"/>
      <c r="CE56" s="2262"/>
      <c r="CF56" s="4717"/>
    </row>
    <row customHeight="1" ht="5.25" hidden="1">
      <c r="A57" s="2419"/>
      <c r="B57" s="2262"/>
      <c r="C57" s="2262"/>
      <c r="D57" s="3205"/>
      <c r="E57" s="1261"/>
      <c r="F57" s="1261"/>
      <c r="G57" s="1261"/>
      <c r="H57" s="1261"/>
      <c r="I57" s="1261"/>
      <c r="J57" s="1261"/>
      <c r="K57" s="1261"/>
      <c r="L57" s="1261"/>
      <c r="M57" s="1261"/>
      <c r="N57" s="1261"/>
      <c r="O57" s="1261"/>
      <c r="P57" s="1261"/>
      <c r="Q57" s="1261"/>
      <c r="R57" s="1261"/>
      <c r="S57" s="1262"/>
      <c r="T57" s="1344"/>
      <c r="U57" s="3000"/>
      <c r="V57" s="3000"/>
      <c r="W57" s="2262"/>
      <c r="X57" s="2262"/>
      <c r="Y57" s="2262"/>
      <c r="Z57" s="2262"/>
      <c r="AA57" s="2262"/>
      <c r="AB57" s="2262"/>
      <c r="AC57" s="1663"/>
      <c r="AD57" s="1664"/>
      <c r="AE57" s="2262"/>
      <c r="AF57" s="2262"/>
      <c r="AG57" s="2262"/>
      <c r="AH57" s="2262"/>
      <c r="AI57" s="2262"/>
      <c r="AJ57" s="2262"/>
      <c r="AK57" s="2262"/>
      <c r="AL57" s="2262"/>
      <c r="AM57" s="2262"/>
      <c r="AN57" s="2262"/>
      <c r="AO57" s="2262"/>
      <c r="AP57" s="2262"/>
      <c r="AQ57" s="2262"/>
      <c r="AR57" s="2262"/>
      <c r="AS57" s="2262"/>
      <c r="AT57" s="2262"/>
      <c r="AU57" s="2262"/>
      <c r="AV57" s="2262"/>
      <c r="AW57" s="2262"/>
      <c r="AX57" s="2262"/>
      <c r="AY57" s="2262"/>
      <c r="AZ57" s="2262"/>
      <c r="BA57" s="2262"/>
      <c r="BB57" s="2262"/>
      <c r="BC57" s="2262"/>
      <c r="BD57" s="2262"/>
      <c r="BE57" s="2262"/>
      <c r="BF57" s="2262"/>
      <c r="BG57" s="2262"/>
      <c r="BH57" s="2262"/>
      <c r="BI57" s="2262"/>
      <c r="BJ57" s="2262"/>
      <c r="BK57" s="2262"/>
      <c r="BL57" s="2262"/>
      <c r="BM57" s="2262"/>
      <c r="BN57" s="2262"/>
      <c r="BO57" s="2262"/>
      <c r="BP57" s="2262"/>
      <c r="BQ57" s="2262"/>
      <c r="BR57" s="2262"/>
      <c r="BS57" s="2262"/>
      <c r="BT57" s="2262"/>
      <c r="BU57" s="2262"/>
      <c r="BV57" s="2262"/>
      <c r="BW57" s="2262"/>
      <c r="BX57" s="2262"/>
      <c r="BY57" s="2262"/>
      <c r="BZ57" s="2262"/>
      <c r="CA57" s="2262"/>
      <c r="CB57" s="2262"/>
      <c r="CC57" s="2262"/>
      <c r="CD57" s="2262"/>
      <c r="CE57" s="2262"/>
      <c r="CF57" s="4717"/>
    </row>
    <row customHeight="1" ht="5.25" hidden="1">
      <c r="A58" s="2419"/>
      <c r="B58" s="2262"/>
      <c r="C58" s="2262"/>
      <c r="D58" s="3206"/>
      <c r="E58" s="1669"/>
      <c r="F58" s="1670"/>
      <c r="G58" s="1670"/>
      <c r="H58" s="1671"/>
      <c r="I58" s="1671"/>
      <c r="J58" s="1671"/>
      <c r="K58" s="1671"/>
      <c r="L58" s="1671"/>
      <c r="M58" s="1671"/>
      <c r="N58" s="1671"/>
      <c r="O58" s="1671"/>
      <c r="P58" s="1671"/>
      <c r="Q58" s="1671"/>
      <c r="R58" s="1572"/>
      <c r="S58" s="1672"/>
      <c r="T58" s="1344"/>
      <c r="U58" s="3000"/>
      <c r="V58" s="3000"/>
      <c r="W58" s="2262"/>
      <c r="X58" s="2262"/>
      <c r="Y58" s="2262"/>
      <c r="Z58" s="2262"/>
      <c r="AA58" s="2262"/>
      <c r="AB58" s="2262"/>
      <c r="AC58" s="1663"/>
      <c r="AD58" s="1664"/>
      <c r="AE58" s="2262"/>
      <c r="AF58" s="2262"/>
      <c r="AG58" s="2262"/>
      <c r="AH58" s="2262"/>
      <c r="AI58" s="2262"/>
      <c r="AJ58" s="2262"/>
      <c r="AK58" s="2262"/>
      <c r="AL58" s="2262"/>
      <c r="AM58" s="2262"/>
      <c r="AN58" s="2262"/>
      <c r="AO58" s="2262"/>
      <c r="AP58" s="2262"/>
      <c r="AQ58" s="2262"/>
      <c r="AR58" s="2262"/>
      <c r="AS58" s="2262"/>
      <c r="AT58" s="2262"/>
      <c r="AU58" s="2262"/>
      <c r="AV58" s="2262"/>
      <c r="AW58" s="2262"/>
      <c r="AX58" s="2262"/>
      <c r="AY58" s="2262"/>
      <c r="AZ58" s="2262"/>
      <c r="BA58" s="2262"/>
      <c r="BB58" s="2262"/>
      <c r="BC58" s="2262"/>
      <c r="BD58" s="2262"/>
      <c r="BE58" s="2262"/>
      <c r="BF58" s="2262"/>
      <c r="BG58" s="2262"/>
      <c r="BH58" s="2262"/>
      <c r="BI58" s="2262"/>
      <c r="BJ58" s="2262"/>
      <c r="BK58" s="2262"/>
      <c r="BL58" s="2262"/>
      <c r="BM58" s="2262"/>
      <c r="BN58" s="2262"/>
      <c r="BO58" s="2262"/>
      <c r="BP58" s="2262"/>
      <c r="BQ58" s="2262"/>
      <c r="BR58" s="2262"/>
      <c r="BS58" s="2262"/>
      <c r="BT58" s="2262"/>
      <c r="BU58" s="2262"/>
      <c r="BV58" s="2262"/>
      <c r="BW58" s="2262"/>
      <c r="BX58" s="2262"/>
      <c r="BY58" s="2262"/>
      <c r="BZ58" s="2262"/>
      <c r="CA58" s="2262"/>
      <c r="CB58" s="2262"/>
      <c r="CC58" s="2262"/>
      <c r="CD58" s="2262"/>
      <c r="CE58" s="2262"/>
      <c r="CF58" s="4717"/>
    </row>
    <row customHeight="1" ht="19.95">
      <c r="D59" s="1673"/>
      <c r="E59" s="1673"/>
      <c r="F59" s="1673"/>
      <c r="G59" s="1673"/>
      <c r="H59" s="1673"/>
      <c r="I59" s="1673"/>
      <c r="J59" s="1673"/>
      <c r="K59" s="1673"/>
      <c r="L59" s="1673"/>
      <c r="M59" s="1673"/>
      <c r="N59" s="1673"/>
      <c r="O59" s="1673"/>
      <c r="P59" s="1673"/>
      <c r="Q59" s="1673"/>
      <c r="R59" s="1673"/>
      <c r="S59" s="1673"/>
      <c r="T59" s="960"/>
      <c r="CF59" s="1131">
        <v>19</v>
      </c>
    </row>
    <row customHeight="1" ht="11.549999999999999">
      <c r="D60" s="1135"/>
      <c r="CF60" s="1131">
        <v>11</v>
      </c>
    </row>
    <row customHeight="1" ht="11.549999999999999">
      <c r="D61" s="1280"/>
      <c r="E61" s="1280"/>
      <c r="F61" s="1280"/>
      <c r="G61" s="1281"/>
      <c r="CF61" s="1131">
        <v>11</v>
      </c>
    </row>
    <row customHeight="1" ht="11.549999999999999">
      <c r="CF62" s="1131">
        <v>11</v>
      </c>
    </row>
    <row customHeight="1" ht="11.549999999999999">
      <c r="D63" s="1282"/>
      <c r="E63" s="3010"/>
      <c r="F63" s="3010"/>
      <c r="G63" s="3010"/>
      <c r="H63" s="3010"/>
      <c r="I63" s="3010"/>
      <c r="J63" s="3010"/>
      <c r="K63" s="3010"/>
      <c r="L63" s="3010"/>
      <c r="M63" s="3010"/>
      <c r="N63" s="3010"/>
      <c r="O63" s="3010"/>
      <c r="P63" s="3010"/>
      <c r="Q63" s="3010"/>
      <c r="R63" s="3010"/>
      <c r="CF63" s="1131">
        <v>11</v>
      </c>
    </row>
    <row customHeight="1" ht="11.549999999999999">
      <c r="F64" s="1384"/>
      <c r="G64" s="1384"/>
      <c r="CF64" s="1131">
        <v>11</v>
      </c>
    </row>
    <row customHeight="1" ht="11.25" hidden="1">
      <c r="A65" s="1236" t="s">
        <v>82</v>
      </c>
      <c r="B65" s="1075">
        <v>0</v>
      </c>
      <c r="C65" s="1131">
        <v>3</v>
      </c>
      <c r="D65" s="1131">
        <v>0</v>
      </c>
      <c r="E65" s="1131">
        <v>7</v>
      </c>
      <c r="F65" s="1131">
        <v>7</v>
      </c>
      <c r="G65" s="1131">
        <v>29</v>
      </c>
      <c r="H65" s="1131">
        <v>3</v>
      </c>
      <c r="I65" s="1131">
        <v>5</v>
      </c>
      <c r="J65" s="1131">
        <v>24</v>
      </c>
      <c r="K65" s="1131">
        <v>24</v>
      </c>
      <c r="L65" s="1131">
        <v>3</v>
      </c>
      <c r="M65" s="1131">
        <v>6</v>
      </c>
      <c r="N65" s="1131">
        <v>25</v>
      </c>
      <c r="O65" s="1131">
        <v>18</v>
      </c>
      <c r="P65" s="1131">
        <v>18</v>
      </c>
      <c r="Q65" s="1131">
        <v>18</v>
      </c>
      <c r="R65" s="1131">
        <v>18</v>
      </c>
      <c r="S65" s="1131">
        <v>93</v>
      </c>
      <c r="T65" s="1131">
        <v>10</v>
      </c>
      <c r="U65" s="1237">
        <v>10</v>
      </c>
      <c r="V65" s="1237">
        <v>11</v>
      </c>
      <c r="W65" s="1238">
        <v>10</v>
      </c>
      <c r="X65" s="1075">
        <v>10</v>
      </c>
      <c r="Y65" s="1075">
        <v>10</v>
      </c>
      <c r="Z65" s="1075">
        <v>10</v>
      </c>
      <c r="AA65" s="1075">
        <v>10</v>
      </c>
      <c r="AB65" s="1131">
        <v>8</v>
      </c>
      <c r="AC65" s="1131">
        <v>8</v>
      </c>
      <c r="AD65" s="1131">
        <v>8</v>
      </c>
      <c r="AE65" s="1131">
        <v>8</v>
      </c>
      <c r="AF65" s="1131">
        <v>8</v>
      </c>
      <c r="AG65" s="1131">
        <v>8</v>
      </c>
      <c r="AH65" s="1131">
        <v>8</v>
      </c>
      <c r="AI65" s="1131">
        <v>8</v>
      </c>
      <c r="AJ65" s="1131">
        <v>8</v>
      </c>
      <c r="AK65" s="1131">
        <v>8</v>
      </c>
      <c r="AL65" s="1131">
        <v>8</v>
      </c>
      <c r="AM65" s="1131">
        <v>8</v>
      </c>
      <c r="AN65" s="1131">
        <v>8</v>
      </c>
      <c r="AO65" s="1131">
        <v>8</v>
      </c>
      <c r="AP65" s="1131">
        <v>8</v>
      </c>
      <c r="AQ65" s="1131">
        <v>8</v>
      </c>
      <c r="AR65" s="1131">
        <v>8</v>
      </c>
      <c r="AS65" s="1131">
        <v>8</v>
      </c>
      <c r="AT65" s="1131">
        <v>8</v>
      </c>
      <c r="AU65" s="1131">
        <v>8</v>
      </c>
      <c r="AV65" s="1131">
        <v>8</v>
      </c>
      <c r="AW65" s="1131">
        <v>8</v>
      </c>
      <c r="AX65" s="1131">
        <v>8</v>
      </c>
      <c r="AY65" s="1131">
        <v>8</v>
      </c>
      <c r="AZ65" s="1131">
        <v>8</v>
      </c>
      <c r="BA65" s="1131">
        <v>8</v>
      </c>
      <c r="BB65" s="1131">
        <v>8</v>
      </c>
      <c r="BC65" s="1131">
        <v>8</v>
      </c>
      <c r="BD65" s="1131">
        <v>8</v>
      </c>
      <c r="BE65" s="1131">
        <v>8</v>
      </c>
      <c r="BF65" s="1131">
        <v>8</v>
      </c>
      <c r="BG65" s="1131">
        <v>8</v>
      </c>
      <c r="BH65" s="1131">
        <v>8</v>
      </c>
      <c r="BI65" s="1131">
        <v>8</v>
      </c>
      <c r="BJ65" s="1131">
        <v>8</v>
      </c>
      <c r="BK65" s="1131">
        <v>8</v>
      </c>
      <c r="BL65" s="1131">
        <v>8</v>
      </c>
      <c r="BM65" s="1131">
        <v>8</v>
      </c>
      <c r="BN65" s="1131">
        <v>8</v>
      </c>
      <c r="BO65" s="1131">
        <v>8</v>
      </c>
      <c r="BP65" s="1131">
        <v>8</v>
      </c>
      <c r="BQ65" s="1131">
        <v>8</v>
      </c>
      <c r="BR65" s="1131">
        <v>8</v>
      </c>
      <c r="BS65" s="1131">
        <v>8</v>
      </c>
      <c r="BT65" s="1131">
        <v>8</v>
      </c>
      <c r="BU65" s="1131">
        <v>8</v>
      </c>
      <c r="BV65" s="1131">
        <v>8</v>
      </c>
      <c r="BW65" s="1131">
        <v>8</v>
      </c>
      <c r="BX65" s="1131">
        <v>8</v>
      </c>
      <c r="BY65" s="1131">
        <v>8</v>
      </c>
      <c r="BZ65" s="1131">
        <v>8</v>
      </c>
      <c r="CA65" s="1131">
        <v>8</v>
      </c>
      <c r="CB65" s="1131">
        <v>8</v>
      </c>
      <c r="CC65" s="1131">
        <v>8</v>
      </c>
      <c r="CD65" s="1131">
        <v>8</v>
      </c>
      <c r="CE65" s="1131">
        <v>8</v>
      </c>
      <c r="CF65" s="1131">
        <v>11</v>
      </c>
    </row>
  </sheetData>
  <sheetProtection sheet="1" formatColumns="0" formatRows="0" autoFilter="0" sort="1" insertRows="1" insertColumns="1" deleteRows="1" deleteColumns="1"/>
  <mergeCells count="74">
    <mergeCell ref="E5:K5"/>
    <mergeCell ref="E6:K6"/>
    <mergeCell ref="E9:R9"/>
    <mergeCell ref="S9:S10"/>
    <mergeCell ref="E10:F10"/>
    <mergeCell ref="H10:I10"/>
    <mergeCell ref="L10:M10"/>
    <mergeCell ref="D14:D22"/>
    <mergeCell ref="H14:R14"/>
    <mergeCell ref="H15:R15"/>
    <mergeCell ref="H16:R16"/>
    <mergeCell ref="E63:R63"/>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B03FAF-47F4-0D35-937C-D795CF1FBA29}" mc:Ignorable="x14ac xr xr2 xr3">
  <sheetPr>
    <tabColor theme="9" tint="-0.25"/>
  </sheetPr>
  <dimension ref="A1:AO204"/>
  <sheetViews>
    <sheetView showGridLines="0" zoomScale="90" workbookViewId="0">
      <pane xSplit="12" ySplit="14" topLeftCell="M15" activePane="bottomRight" state="frozen"/>
      <selection pane="bottomLeft" activeCell="A15" sqref="A15"/>
      <selection pane="topRight" activeCell="M1" sqref="M1"/>
      <selection pane="bottomRight" activeCell="Q9" sqref="Q9"/>
    </sheetView>
  </sheetViews>
  <sheetFormatPr defaultColWidth="9.140625" customHeight="1" defaultRowHeight="11.25"/>
  <cols>
    <col min="1" max="5" style="35916" width="10.7109375" hidden="1" customWidth="1"/>
    <col min="6" max="6" style="34657" width="16.8515625" hidden="1" customWidth="1"/>
    <col min="7" max="7" style="34658" width="5.57421875" hidden="1" customWidth="1"/>
    <col min="8" max="8" style="34580" width="3.00390625" customWidth="1"/>
    <col min="9" max="9" style="34580" width="7.00390625" customWidth="1"/>
    <col min="10" max="10" style="34580" width="56.00390625" customWidth="1"/>
    <col min="11" max="11" style="34580" width="10.00390625" customWidth="1"/>
    <col min="12" max="12" style="34580" width="40.57421875" hidden="1" customWidth="1"/>
    <col min="13" max="13" style="34580" width="40.7109375" customWidth="1"/>
    <col min="14" max="17" style="35917" width="40.57421875" customWidth="1"/>
    <col min="18" max="18" style="34657" width="9.7109375" hidden="1" customWidth="1"/>
    <col min="19" max="19" style="34580" width="102.00390625" customWidth="1"/>
    <col min="20" max="20" style="34657" width="9.00390625" customWidth="1"/>
    <col min="21" max="21" style="34658" width="5.00390625" customWidth="1"/>
    <col min="22" max="22" style="34658" width="3.00390625" customWidth="1"/>
    <col min="23" max="26" style="34657" width="3.00390625" customWidth="1"/>
    <col min="27" max="27" style="34658" width="10.00390625" customWidth="1"/>
    <col min="28" max="28" style="34657" width="34.00390625" customWidth="1"/>
    <col min="29" max="29" style="34657" width="9.00390625" customWidth="1"/>
    <col min="30" max="30" style="35918" width="8.00390625" customWidth="1"/>
    <col min="31" max="35" style="34657" width="8.00390625" customWidth="1"/>
    <col min="36" max="40" style="34544" width="8.00390625" customWidth="1"/>
    <col min="41" max="41" style="34580" width="5.421875" hidden="1" customWidth="1"/>
  </cols>
  <sheetData>
    <row s="34657" customFormat="1" customHeight="1" ht="33.75" hidden="1">
      <c r="A1" s="1613"/>
      <c r="B1" s="1613"/>
      <c r="C1" s="1613"/>
      <c r="D1" s="1613"/>
      <c r="E1" s="1613"/>
      <c r="G1" s="2262"/>
      <c r="H1" s="1504"/>
      <c r="L1" s="1992">
        <v>4</v>
      </c>
      <c r="M1" s="1992">
        <v>4</v>
      </c>
      <c r="N1" s="4490">
        <v>4</v>
      </c>
      <c r="O1" s="4490">
        <v>4</v>
      </c>
      <c r="P1" s="4490">
        <v>4</v>
      </c>
      <c r="Q1" s="4490">
        <v>4</v>
      </c>
      <c r="U1" s="2262"/>
      <c r="V1" s="2262"/>
      <c r="AA1" s="2262"/>
      <c r="AO1" s="1992" t="s">
        <v>14</v>
      </c>
    </row>
    <row s="34657" customFormat="1" customHeight="1" ht="78.75" hidden="1">
      <c r="A2" s="1613"/>
      <c r="B2" s="2679" t="s">
        <v>637</v>
      </c>
      <c r="C2" s="2679" t="s">
        <v>638</v>
      </c>
      <c r="D2" s="2678" t="s">
        <v>639</v>
      </c>
      <c r="E2" s="2682">
        <f>RIGHT(I2,LEN(I2)-SEARCH("#",SUBSTITUTE(I2,".","#",LEN(I2)-LEN(SUBSTITUTE(I2,".","")))))</f>
      </c>
      <c r="F2" s="2684">
        <f>J2</f>
        <v>0</v>
      </c>
      <c r="G2" s="2262"/>
      <c r="H2" s="2685"/>
      <c r="I2" s="2675"/>
      <c r="J2" s="1166"/>
      <c r="K2" s="2645" t="s">
        <v>574</v>
      </c>
      <c r="L2" s="1377"/>
      <c r="M2" s="1377"/>
      <c r="N2" s="4486"/>
      <c r="O2" s="4486"/>
      <c r="P2" s="4486"/>
      <c r="Q2" s="4486"/>
      <c r="R2" s="1169"/>
      <c r="S2" s="2151" t="s">
        <v>575</v>
      </c>
      <c r="T2" s="1169"/>
      <c r="U2" s="2262"/>
      <c r="V2" s="2262"/>
      <c r="AA2" s="2262"/>
      <c r="AD2" s="1170"/>
      <c r="AJ2" s="2258"/>
      <c r="AK2" s="2258"/>
      <c r="AL2" s="2258"/>
      <c r="AM2" s="2258"/>
      <c r="AN2" s="2258"/>
      <c r="AO2" s="1992">
        <v>0</v>
      </c>
    </row>
    <row customHeight="1" ht="11.25" hidden="1">
      <c r="E3" s="2677" t="s">
        <v>640</v>
      </c>
      <c r="L3" s="2257">
        <f>0</f>
        <v>0</v>
      </c>
      <c r="M3" s="2257">
        <v>1</v>
      </c>
      <c r="N3" s="4469">
        <f>0</f>
        <v>0</v>
      </c>
      <c r="O3" s="4469">
        <f>0</f>
        <v>0</v>
      </c>
      <c r="P3" s="4469">
        <f>0</f>
        <v>0</v>
      </c>
      <c r="Q3" s="4469">
        <f>0</f>
        <v>0</v>
      </c>
      <c r="AO3" s="2257">
        <v>0</v>
      </c>
    </row>
    <row s="34544" customFormat="1" customHeight="1" ht="11.25" hidden="1">
      <c r="A4" s="1613"/>
      <c r="B4" s="1613"/>
      <c r="C4" s="1613"/>
      <c r="E4" s="1613"/>
      <c r="F4" s="1992"/>
      <c r="G4" s="2262"/>
      <c r="H4" s="1246"/>
      <c r="N4" s="4500"/>
      <c r="O4" s="4500"/>
      <c r="P4" s="4500"/>
      <c r="Q4" s="4500"/>
      <c r="R4" s="1992"/>
      <c r="S4" s="2258">
        <v>4</v>
      </c>
      <c r="T4" s="1992"/>
      <c r="U4" s="2262"/>
      <c r="V4" s="2262"/>
      <c r="W4" s="1992"/>
      <c r="X4" s="1992"/>
      <c r="Y4" s="1992"/>
      <c r="Z4" s="1992"/>
      <c r="AA4" s="2262"/>
      <c r="AB4" s="1992"/>
      <c r="AC4" s="1992"/>
      <c r="AD4" s="1170"/>
      <c r="AE4" s="1992"/>
      <c r="AF4" s="1992"/>
      <c r="AG4" s="1992"/>
      <c r="AH4" s="1992"/>
      <c r="AI4" s="1992"/>
      <c r="AO4" s="2258">
        <v>0</v>
      </c>
    </row>
    <row customHeight="1" ht="11.549999999999999">
      <c r="N5" s="4469"/>
      <c r="O5" s="4469"/>
      <c r="P5" s="4469"/>
      <c r="Q5" s="4469"/>
      <c r="AO5" s="2257">
        <v>11</v>
      </c>
    </row>
    <row customHeight="1" ht="57.75">
      <c r="I6" s="2933" t="s">
        <v>641</v>
      </c>
      <c r="J6" s="2933"/>
      <c r="K6" s="2933"/>
      <c r="L6" s="2933"/>
      <c r="M6" s="2933"/>
      <c r="N6" s="4738"/>
      <c r="O6" s="4738"/>
      <c r="P6" s="4738"/>
      <c r="Q6" s="4738"/>
      <c r="S6" s="1182"/>
      <c r="AO6" s="2257">
        <v>55</v>
      </c>
    </row>
    <row customHeight="1" ht="25.2">
      <c r="I7" s="2875" t="str">
        <f>IF(org=0,"Не определено",org)</f>
        <v>АО "ДГК"</v>
      </c>
      <c r="J7" s="2875"/>
      <c r="K7" s="2875"/>
      <c r="L7" s="2875"/>
      <c r="M7" s="2875"/>
      <c r="N7" s="4503"/>
      <c r="O7" s="4503"/>
      <c r="P7" s="4503"/>
      <c r="Q7" s="4503"/>
      <c r="AO7" s="2257">
        <v>24</v>
      </c>
    </row>
    <row customHeight="1" ht="11.549999999999999">
      <c r="I8" s="1761"/>
      <c r="J8" s="1761"/>
      <c r="K8" s="1761"/>
      <c r="L8" s="1761"/>
      <c r="M8" s="1761"/>
      <c r="N8" s="4505" t="s">
        <v>22</v>
      </c>
      <c r="O8" s="4505" t="s">
        <v>22</v>
      </c>
      <c r="P8" s="4505" t="s">
        <v>22</v>
      </c>
      <c r="Q8" s="4505" t="s">
        <v>22</v>
      </c>
      <c r="AO8" s="2257">
        <v>11</v>
      </c>
    </row>
    <row s="34658" customFormat="1" customHeight="1" ht="30" hidden="1">
      <c r="A9" s="1793"/>
      <c r="B9" s="1793"/>
      <c r="C9" s="1793"/>
      <c r="E9" s="1793"/>
      <c r="H9" s="2268"/>
      <c r="L9" s="1515"/>
      <c r="M9" s="1515" t="s">
        <v>126</v>
      </c>
      <c r="N9" s="4507" t="s">
        <v>131</v>
      </c>
      <c r="O9" s="4507" t="s">
        <v>134</v>
      </c>
      <c r="P9" s="4507" t="s">
        <v>139</v>
      </c>
      <c r="Q9" s="4507" t="s">
        <v>137</v>
      </c>
      <c r="AO9" s="2262">
        <v>1</v>
      </c>
    </row>
    <row customHeight="1" ht="11.549999999999999">
      <c r="E10" s="2676" t="s">
        <v>642</v>
      </c>
      <c r="I10" s="1337"/>
      <c r="J10" s="2993" t="s">
        <v>114</v>
      </c>
      <c r="K10" s="2994"/>
      <c r="L10" s="2655" t="str">
        <f>IF(L9="","",INDEX(DIFFERENTIATION_UNMERGE_VD,MATCH(L9,DIFFERENTIATION_ID_DIFF,0)))</f>
        <v/>
      </c>
      <c r="M10" s="2655"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N10" s="4512"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O10" s="4512" t="str">
        <f>IF(O9="","",INDEX(DIFFERENTIATION_UNMERGE_VD,MATCH(O9,DIFFERENTIATION_ID_DIFF,0)))</f>
        <v>Производство тепловой энергии. Некомбинированная выработка</v>
      </c>
      <c r="P10" s="4512" t="str">
        <f>IF(P9="","",INDEX(DIFFERENTIATION_UNMERGE_VD,MATCH(P9,DIFFERENTIATION_ID_DIFF,0)))</f>
        <v>Производство тепловой энергии. Комбинированная выработка с уст. мощностью производства электрической энергии 25 МВт и более</v>
      </c>
      <c r="Q10" s="4512" t="str">
        <f>IF(Q9="","",INDEX(DIFFERENTIATION_UNMERGE_VD,MATCH(Q9,DIFFERENTIATION_ID_DIFF,0)))</f>
        <v>Производство тепловой энергии. Некомбинированная выработка</v>
      </c>
      <c r="S10" s="2753" t="s">
        <v>319</v>
      </c>
      <c r="AO10" s="2257">
        <v>11</v>
      </c>
    </row>
    <row customHeight="1" ht="11.549999999999999">
      <c r="E11" s="2676" t="s">
        <v>643</v>
      </c>
      <c r="I11" s="1337"/>
      <c r="J11" s="2993" t="s">
        <v>582</v>
      </c>
      <c r="K11" s="2994"/>
      <c r="L11" s="2655" t="str">
        <f>IF(L9="","",INDEX(DIFFERENTIATION_UNMERGE_AREA,MATCH(L9,DIFFERENTIATION_ID_DIFF,0)))</f>
        <v/>
      </c>
      <c r="M11" s="2655" t="str">
        <f>IF(M9="","",INDEX(DIFFERENTIATION_UNMERGE_AREA,MATCH(M9,DIFFERENTIATION_ID_DIFF,0)))</f>
        <v>Территория 1</v>
      </c>
      <c r="N11" s="4512" t="str">
        <f>IF(N9="","",INDEX(DIFFERENTIATION_UNMERGE_AREA,MATCH(N9,DIFFERENTIATION_ID_DIFF,0)))</f>
        <v>Территория 2</v>
      </c>
      <c r="O11" s="4512" t="str">
        <f>IF(O9="","",INDEX(DIFFERENTIATION_UNMERGE_AREA,MATCH(O9,DIFFERENTIATION_ID_DIFF,0)))</f>
        <v>Территория 2</v>
      </c>
      <c r="P11" s="4512" t="str">
        <f>IF(P9="","",INDEX(DIFFERENTIATION_UNMERGE_AREA,MATCH(P9,DIFFERENTIATION_ID_DIFF,0)))</f>
        <v>Территория 3</v>
      </c>
      <c r="Q11" s="4512" t="str">
        <f>IF(Q9="","",INDEX(DIFFERENTIATION_UNMERGE_AREA,MATCH(Q9,DIFFERENTIATION_ID_DIFF,0)))</f>
        <v>Территория 3</v>
      </c>
      <c r="S11" s="2753"/>
      <c r="AO11" s="2257">
        <v>11</v>
      </c>
    </row>
    <row customHeight="1" ht="11.549999999999999">
      <c r="E12" s="2676" t="s">
        <v>644</v>
      </c>
      <c r="I12" s="2288"/>
      <c r="J12" s="2993" t="s">
        <v>583</v>
      </c>
      <c r="K12" s="2994"/>
      <c r="L12" s="2655" t="str">
        <f>IF(L9="","",INDEX(DIFFERENTIATION_UNMERGE_SYSTEM,MATCH(L9,DIFFERENTIATION_ID_DIFF,0)))</f>
        <v/>
      </c>
      <c r="M12" s="2655" t="str">
        <f>IF(M9="","",INDEX(DIFFERENTIATION_UNMERGE_SYSTEM,MATCH(M9,DIFFERENTIATION_ID_DIFF,0)))</f>
        <v>Благовещенская ТЭЦ (г. Благовещенск)</v>
      </c>
      <c r="N12" s="4512" t="str">
        <f>IF(N9="","",INDEX(DIFFERENTIATION_UNMERGE_SYSTEM,MATCH(N9,DIFFERENTIATION_ID_DIFF,0)))</f>
        <v>Райчихинская ГРЭС </v>
      </c>
      <c r="O12" s="4512" t="str">
        <f>IF(O9="","",INDEX(DIFFERENTIATION_UNMERGE_SYSTEM,MATCH(O9,DIFFERENTIATION_ID_DIFF,0)))</f>
        <v>Котельная "Агромех" (п.г.т. Новорайчихинск)</v>
      </c>
      <c r="P12" s="4512" t="str">
        <f>IF(P9="","",INDEX(DIFFERENTIATION_UNMERGE_SYSTEM,MATCH(P9,DIFFERENTIATION_ID_DIFF,0)))</f>
        <v>Благовещенская ТЭЦ (с. Чигири)</v>
      </c>
      <c r="Q12" s="4512" t="str">
        <f>IF(Q9="","",INDEX(DIFFERENTIATION_UNMERGE_SYSTEM,MATCH(Q9,DIFFERENTIATION_ID_DIFF,0)))</f>
        <v>Котельная "Центральная" (с. Чигири ) </v>
      </c>
      <c r="S12" s="2753"/>
      <c r="AO12" s="2257">
        <v>11</v>
      </c>
    </row>
    <row customHeight="1" ht="11.549999999999999">
      <c r="E13" s="2676" t="s">
        <v>645</v>
      </c>
      <c r="F13" s="2676" t="s">
        <v>646</v>
      </c>
      <c r="I13" s="2995" t="s">
        <v>318</v>
      </c>
      <c r="J13" s="2996"/>
      <c r="K13" s="2996"/>
      <c r="L13" s="2653"/>
      <c r="M13" s="2693"/>
      <c r="N13" s="4516"/>
      <c r="O13" s="4516"/>
      <c r="P13" s="4516"/>
      <c r="Q13" s="4516"/>
      <c r="S13" s="2753"/>
      <c r="AO13" s="2257">
        <v>11</v>
      </c>
    </row>
    <row customHeight="1" ht="24">
      <c r="I14" s="2646" t="s">
        <v>88</v>
      </c>
      <c r="J14" s="2646" t="s">
        <v>320</v>
      </c>
      <c r="K14" s="2646" t="s">
        <v>584</v>
      </c>
      <c r="L14" s="2686" t="s">
        <v>321</v>
      </c>
      <c r="M14" s="2687" t="s">
        <v>321</v>
      </c>
      <c r="N14" s="4747" t="s">
        <v>321</v>
      </c>
      <c r="O14" s="4747" t="s">
        <v>321</v>
      </c>
      <c r="P14" s="4747" t="s">
        <v>321</v>
      </c>
      <c r="Q14" s="4747" t="s">
        <v>321</v>
      </c>
      <c r="S14" s="2753"/>
      <c r="AO14" s="2257">
        <v>23</v>
      </c>
    </row>
    <row customHeight="1" ht="24">
      <c r="A15" s="2680"/>
      <c r="B15" s="2679" t="s">
        <v>647</v>
      </c>
      <c r="C15" s="2679" t="s">
        <v>648</v>
      </c>
      <c r="D15" s="2678" t="s">
        <v>649</v>
      </c>
      <c r="E15" s="2682" t="s">
        <v>650</v>
      </c>
      <c r="F15" s="2682" t="s">
        <v>650</v>
      </c>
      <c r="G15" s="2262" t="s">
        <v>606</v>
      </c>
      <c r="H15" s="2647"/>
      <c r="I15" s="2256">
        <v>1</v>
      </c>
      <c r="J15" s="2648" t="s">
        <v>651</v>
      </c>
      <c r="K15" s="2646" t="s">
        <v>324</v>
      </c>
      <c r="L15" s="1288"/>
      <c r="M15" s="1444"/>
      <c r="N15" s="4753"/>
      <c r="O15" s="4753"/>
      <c r="P15" s="4753"/>
      <c r="Q15" s="4753"/>
      <c r="R15" s="1169" t="s">
        <v>652</v>
      </c>
      <c r="S15" s="2151" t="s">
        <v>653</v>
      </c>
      <c r="T15" s="1169" t="s">
        <v>652</v>
      </c>
      <c r="AO15" s="2257">
        <v>23</v>
      </c>
    </row>
    <row customHeight="1" ht="35.699999999999996">
      <c r="A16" s="2680"/>
      <c r="B16" s="2679" t="s">
        <v>654</v>
      </c>
      <c r="C16" s="2679" t="s">
        <v>655</v>
      </c>
      <c r="D16" s="2678" t="s">
        <v>639</v>
      </c>
      <c r="E16" s="2682" t="s">
        <v>650</v>
      </c>
      <c r="F16" s="2682" t="s">
        <v>650</v>
      </c>
      <c r="H16" s="2647"/>
      <c r="I16" s="2255">
        <v>2</v>
      </c>
      <c r="J16" s="2689" t="s">
        <v>656</v>
      </c>
      <c r="K16" s="2688" t="s">
        <v>574</v>
      </c>
      <c r="L16" s="2694"/>
      <c r="M16" s="2302"/>
      <c r="N16" s="4759"/>
      <c r="O16" s="4759"/>
      <c r="P16" s="4759"/>
      <c r="Q16" s="4759"/>
      <c r="R16" s="1169" t="s">
        <v>652</v>
      </c>
      <c r="S16" s="2151" t="s">
        <v>657</v>
      </c>
      <c r="T16" s="1169" t="s">
        <v>652</v>
      </c>
      <c r="AO16" s="2257">
        <v>34</v>
      </c>
    </row>
    <row s="34658" customFormat="1" customHeight="1" ht="17.25" hidden="1">
      <c r="A17" s="1793"/>
      <c r="B17" s="1793"/>
      <c r="C17" s="1793"/>
      <c r="D17" s="1793"/>
      <c r="E17" s="1793"/>
      <c r="H17" s="1950"/>
      <c r="I17" s="1639" t="s">
        <v>658</v>
      </c>
      <c r="J17" s="1617"/>
      <c r="K17" s="1639"/>
      <c r="L17" s="1618"/>
      <c r="M17" s="1618"/>
      <c r="N17" s="4564"/>
      <c r="O17" s="4564"/>
      <c r="P17" s="4564"/>
      <c r="Q17" s="4564"/>
      <c r="S17" s="2011"/>
      <c r="AO17" s="2262">
        <v>1</v>
      </c>
    </row>
    <row s="34657" customFormat="1" customHeight="1" ht="24">
      <c r="A18" s="1613"/>
      <c r="B18" s="1613"/>
      <c r="C18" s="1613"/>
      <c r="D18" s="1613"/>
      <c r="E18" s="1613"/>
      <c r="G18" s="2262"/>
      <c r="H18" s="2259"/>
      <c r="I18" s="1196"/>
      <c r="J18" s="1197" t="s">
        <v>604</v>
      </c>
      <c r="K18" s="1198"/>
      <c r="L18" s="2696"/>
      <c r="M18" s="1199"/>
      <c r="N18" s="4761"/>
      <c r="O18" s="4762"/>
      <c r="P18" s="4763"/>
      <c r="Q18" s="4764"/>
      <c r="R18" s="1169"/>
      <c r="S18" s="2151" t="s">
        <v>605</v>
      </c>
      <c r="T18" s="1169"/>
      <c r="U18" s="2262"/>
      <c r="V18" s="2262"/>
      <c r="AA18" s="2262"/>
      <c r="AD18" s="1170"/>
      <c r="AJ18" s="2258"/>
      <c r="AK18" s="2258"/>
      <c r="AL18" s="2258"/>
      <c r="AM18" s="2258"/>
      <c r="AN18" s="2258"/>
      <c r="AO18" s="1992">
        <v>23</v>
      </c>
    </row>
    <row customHeight="1" ht="19.95">
      <c r="A19" s="2680"/>
      <c r="B19" s="2679" t="s">
        <v>659</v>
      </c>
      <c r="C19" s="2679" t="s">
        <v>660</v>
      </c>
      <c r="D19" s="2678" t="s">
        <v>639</v>
      </c>
      <c r="E19" s="2682" t="s">
        <v>650</v>
      </c>
      <c r="F19" s="2682" t="s">
        <v>650</v>
      </c>
      <c r="H19" s="2647"/>
      <c r="I19" s="2290">
        <v>3</v>
      </c>
      <c r="J19" s="2648" t="s">
        <v>660</v>
      </c>
      <c r="K19" s="2644" t="s">
        <v>574</v>
      </c>
      <c r="L19" s="1353"/>
      <c r="M19" s="1183"/>
      <c r="N19" s="4768"/>
      <c r="O19" s="4768"/>
      <c r="P19" s="4768"/>
      <c r="Q19" s="4768"/>
      <c r="R19" s="1169"/>
      <c r="S19" s="2151" t="s">
        <v>661</v>
      </c>
      <c r="T19" s="1169"/>
      <c r="AO19" s="2257">
        <v>19</v>
      </c>
    </row>
    <row customHeight="1" ht="77.7">
      <c r="A20" s="2680"/>
      <c r="B20" s="2679" t="s">
        <v>662</v>
      </c>
      <c r="C20" s="2679" t="s">
        <v>663</v>
      </c>
      <c r="D20" s="2678" t="s">
        <v>639</v>
      </c>
      <c r="E20" s="2682" t="s">
        <v>650</v>
      </c>
      <c r="F20" s="2682" t="s">
        <v>650</v>
      </c>
      <c r="H20" s="2647"/>
      <c r="I20" s="2290">
        <v>4</v>
      </c>
      <c r="J20" s="2648" t="s">
        <v>664</v>
      </c>
      <c r="K20" s="2644" t="s">
        <v>601</v>
      </c>
      <c r="L20" s="1353"/>
      <c r="M20" s="1183"/>
      <c r="N20" s="4768"/>
      <c r="O20" s="4768"/>
      <c r="P20" s="4768"/>
      <c r="Q20" s="4768"/>
      <c r="R20" s="1169"/>
      <c r="S20" s="2151"/>
      <c r="T20" s="1169"/>
      <c r="AO20" s="2257">
        <v>74</v>
      </c>
    </row>
    <row customHeight="1" ht="35.699999999999996">
      <c r="A21" s="2680"/>
      <c r="B21" s="2679" t="s">
        <v>665</v>
      </c>
      <c r="C21" s="2679" t="s">
        <v>666</v>
      </c>
      <c r="D21" s="2678" t="s">
        <v>639</v>
      </c>
      <c r="E21" s="2682" t="s">
        <v>650</v>
      </c>
      <c r="F21" s="2682" t="s">
        <v>650</v>
      </c>
      <c r="H21" s="2647"/>
      <c r="I21" s="2290">
        <v>5</v>
      </c>
      <c r="J21" s="2648" t="s">
        <v>667</v>
      </c>
      <c r="K21" s="2644" t="s">
        <v>601</v>
      </c>
      <c r="L21" s="1353"/>
      <c r="M21" s="1183"/>
      <c r="N21" s="4768"/>
      <c r="O21" s="4768"/>
      <c r="P21" s="4768"/>
      <c r="Q21" s="4768"/>
      <c r="R21" s="1169"/>
      <c r="S21" s="2151" t="s">
        <v>661</v>
      </c>
      <c r="T21" s="1169"/>
      <c r="AO21" s="2257">
        <v>34</v>
      </c>
    </row>
    <row customHeight="1" ht="48.29999999999999">
      <c r="A22" s="2680"/>
      <c r="B22" s="2679" t="s">
        <v>668</v>
      </c>
      <c r="C22" s="2679" t="s">
        <v>669</v>
      </c>
      <c r="D22" s="2678" t="s">
        <v>639</v>
      </c>
      <c r="E22" s="2682" t="s">
        <v>650</v>
      </c>
      <c r="F22" s="2682" t="s">
        <v>650</v>
      </c>
      <c r="H22" s="2647"/>
      <c r="I22" s="2290">
        <v>6</v>
      </c>
      <c r="J22" s="2648" t="s">
        <v>670</v>
      </c>
      <c r="K22" s="2644" t="s">
        <v>601</v>
      </c>
      <c r="L22" s="1353"/>
      <c r="M22" s="1183"/>
      <c r="N22" s="4768"/>
      <c r="O22" s="4768"/>
      <c r="P22" s="4768"/>
      <c r="Q22" s="4768"/>
      <c r="R22" s="1169"/>
      <c r="S22" s="2151" t="s">
        <v>671</v>
      </c>
      <c r="T22" s="1169"/>
      <c r="AO22" s="2257">
        <v>46</v>
      </c>
    </row>
    <row customHeight="1" ht="19.95">
      <c r="A23" s="2680"/>
      <c r="B23" s="2679" t="s">
        <v>672</v>
      </c>
      <c r="C23" s="2679" t="s">
        <v>673</v>
      </c>
      <c r="D23" s="2678" t="s">
        <v>639</v>
      </c>
      <c r="E23" s="2682" t="s">
        <v>650</v>
      </c>
      <c r="F23" s="2682" t="s">
        <v>650</v>
      </c>
      <c r="H23" s="2647"/>
      <c r="I23" s="2290" t="s">
        <v>674</v>
      </c>
      <c r="J23" s="2150" t="s">
        <v>675</v>
      </c>
      <c r="K23" s="2644" t="s">
        <v>601</v>
      </c>
      <c r="L23" s="1353"/>
      <c r="M23" s="1183"/>
      <c r="N23" s="4768"/>
      <c r="O23" s="4768"/>
      <c r="P23" s="4768"/>
      <c r="Q23" s="4768"/>
      <c r="R23" s="1169"/>
      <c r="S23" s="2151" t="s">
        <v>661</v>
      </c>
      <c r="T23" s="1169"/>
      <c r="AO23" s="2257">
        <v>19</v>
      </c>
    </row>
    <row customHeight="1" ht="19.95">
      <c r="A24" s="2680"/>
      <c r="B24" s="2679" t="s">
        <v>676</v>
      </c>
      <c r="C24" s="2679" t="s">
        <v>677</v>
      </c>
      <c r="D24" s="2678" t="s">
        <v>639</v>
      </c>
      <c r="E24" s="2682" t="s">
        <v>650</v>
      </c>
      <c r="F24" s="2682" t="s">
        <v>650</v>
      </c>
      <c r="H24" s="2647"/>
      <c r="I24" s="2290" t="s">
        <v>678</v>
      </c>
      <c r="J24" s="2150" t="s">
        <v>679</v>
      </c>
      <c r="K24" s="2644" t="s">
        <v>601</v>
      </c>
      <c r="L24" s="1353"/>
      <c r="M24" s="1183"/>
      <c r="N24" s="4768"/>
      <c r="O24" s="4768"/>
      <c r="P24" s="4768"/>
      <c r="Q24" s="4768"/>
      <c r="R24" s="1169"/>
      <c r="S24" s="2151"/>
      <c r="T24" s="1169"/>
      <c r="AO24" s="2257">
        <v>19</v>
      </c>
    </row>
    <row customHeight="1" ht="24">
      <c r="A25" s="2680"/>
      <c r="B25" s="2679" t="s">
        <v>680</v>
      </c>
      <c r="C25" s="2679" t="s">
        <v>681</v>
      </c>
      <c r="D25" s="2678" t="s">
        <v>639</v>
      </c>
      <c r="E25" s="2682" t="s">
        <v>650</v>
      </c>
      <c r="F25" s="2682" t="s">
        <v>650</v>
      </c>
      <c r="H25" s="2647"/>
      <c r="I25" s="2290" t="s">
        <v>682</v>
      </c>
      <c r="J25" s="2150" t="s">
        <v>683</v>
      </c>
      <c r="K25" s="2644" t="s">
        <v>601</v>
      </c>
      <c r="L25" s="1353"/>
      <c r="M25" s="1183"/>
      <c r="N25" s="4768"/>
      <c r="O25" s="4768"/>
      <c r="P25" s="4768"/>
      <c r="Q25" s="4768"/>
      <c r="R25" s="1169"/>
      <c r="S25" s="2151"/>
      <c r="T25" s="1169"/>
      <c r="AO25" s="2257">
        <v>23</v>
      </c>
    </row>
    <row customHeight="1" ht="24">
      <c r="A26" s="2680"/>
      <c r="B26" s="2679" t="s">
        <v>684</v>
      </c>
      <c r="C26" s="2679" t="s">
        <v>685</v>
      </c>
      <c r="D26" s="2678" t="s">
        <v>639</v>
      </c>
      <c r="E26" s="2682" t="s">
        <v>650</v>
      </c>
      <c r="F26" s="2682" t="s">
        <v>650</v>
      </c>
      <c r="H26" s="2647"/>
      <c r="I26" s="2290">
        <v>7</v>
      </c>
      <c r="J26" s="2648" t="s">
        <v>685</v>
      </c>
      <c r="K26" s="2644" t="s">
        <v>686</v>
      </c>
      <c r="L26" s="1353"/>
      <c r="M26" s="1183"/>
      <c r="N26" s="4768"/>
      <c r="O26" s="4768"/>
      <c r="P26" s="4768"/>
      <c r="Q26" s="4768"/>
      <c r="R26" s="1169"/>
      <c r="S26" s="2151"/>
      <c r="T26" s="1169"/>
      <c r="AO26" s="2257">
        <v>23</v>
      </c>
    </row>
    <row customHeight="1" ht="24">
      <c r="A27" s="2680"/>
      <c r="B27" s="2679" t="s">
        <v>687</v>
      </c>
      <c r="C27" s="2679" t="s">
        <v>688</v>
      </c>
      <c r="D27" s="2678" t="s">
        <v>639</v>
      </c>
      <c r="E27" s="2682" t="s">
        <v>650</v>
      </c>
      <c r="F27" s="2682" t="s">
        <v>650</v>
      </c>
      <c r="H27" s="2647"/>
      <c r="I27" s="2290">
        <v>8</v>
      </c>
      <c r="J27" s="2648" t="s">
        <v>688</v>
      </c>
      <c r="K27" s="2644" t="s">
        <v>607</v>
      </c>
      <c r="L27" s="1353"/>
      <c r="M27" s="1183"/>
      <c r="N27" s="4768"/>
      <c r="O27" s="4768"/>
      <c r="P27" s="4768"/>
      <c r="Q27" s="4768"/>
      <c r="R27" s="1169"/>
      <c r="S27" s="2151"/>
      <c r="T27" s="1169"/>
      <c r="AO27" s="2257">
        <v>23</v>
      </c>
    </row>
    <row customHeight="1" ht="35.699999999999996">
      <c r="A28" s="2680"/>
      <c r="B28" s="2679" t="s">
        <v>689</v>
      </c>
      <c r="C28" s="2679" t="s">
        <v>690</v>
      </c>
      <c r="D28" s="2678" t="s">
        <v>639</v>
      </c>
      <c r="E28" s="2682" t="s">
        <v>650</v>
      </c>
      <c r="F28" s="2682" t="s">
        <v>650</v>
      </c>
      <c r="H28" s="2647"/>
      <c r="I28" s="2301">
        <v>9</v>
      </c>
      <c r="J28" s="2648" t="s">
        <v>691</v>
      </c>
      <c r="K28" s="2644" t="s">
        <v>578</v>
      </c>
      <c r="L28" s="1353"/>
      <c r="M28" s="1183"/>
      <c r="N28" s="4768"/>
      <c r="O28" s="4768"/>
      <c r="P28" s="4768"/>
      <c r="Q28" s="4768"/>
      <c r="R28" s="1169"/>
      <c r="S28" s="2151"/>
      <c r="T28" s="1169"/>
      <c r="AO28" s="2257">
        <v>34</v>
      </c>
    </row>
    <row customHeight="1" ht="35.699999999999996">
      <c r="A29" s="2680"/>
      <c r="B29" s="2679" t="s">
        <v>692</v>
      </c>
      <c r="C29" s="2679" t="s">
        <v>693</v>
      </c>
      <c r="D29" s="2678" t="s">
        <v>639</v>
      </c>
      <c r="E29" s="2682" t="s">
        <v>650</v>
      </c>
      <c r="F29" s="2682" t="s">
        <v>650</v>
      </c>
      <c r="H29" s="2647"/>
      <c r="I29" s="2301">
        <v>10</v>
      </c>
      <c r="J29" s="2648" t="s">
        <v>694</v>
      </c>
      <c r="K29" s="2644" t="s">
        <v>578</v>
      </c>
      <c r="L29" s="1353"/>
      <c r="M29" s="1183"/>
      <c r="N29" s="4768"/>
      <c r="O29" s="4768"/>
      <c r="P29" s="4768"/>
      <c r="Q29" s="4768"/>
      <c r="R29" s="1169"/>
      <c r="S29" s="2151"/>
      <c r="T29" s="1169"/>
      <c r="AO29" s="2257">
        <v>34</v>
      </c>
    </row>
    <row customHeight="1" ht="24">
      <c r="A30" s="2680"/>
      <c r="B30" s="2679" t="s">
        <v>695</v>
      </c>
      <c r="C30" s="2679" t="s">
        <v>696</v>
      </c>
      <c r="D30" s="2678" t="s">
        <v>639</v>
      </c>
      <c r="E30" s="2682" t="s">
        <v>650</v>
      </c>
      <c r="F30" s="2682" t="s">
        <v>650</v>
      </c>
      <c r="H30" s="2647"/>
      <c r="I30" s="2301">
        <v>11</v>
      </c>
      <c r="J30" s="2648" t="s">
        <v>696</v>
      </c>
      <c r="K30" s="2644" t="s">
        <v>608</v>
      </c>
      <c r="L30" s="2695"/>
      <c r="M30" s="2247"/>
      <c r="N30" s="4771"/>
      <c r="O30" s="4771"/>
      <c r="P30" s="4771"/>
      <c r="Q30" s="4771"/>
      <c r="R30" s="1169"/>
      <c r="S30" s="2151"/>
      <c r="T30" s="1169"/>
      <c r="AO30" s="2257">
        <v>23</v>
      </c>
    </row>
    <row customHeight="1" ht="24">
      <c r="A31" s="2680"/>
      <c r="B31" s="2679" t="s">
        <v>697</v>
      </c>
      <c r="C31" s="2679" t="s">
        <v>698</v>
      </c>
      <c r="D31" s="2678" t="s">
        <v>639</v>
      </c>
      <c r="E31" s="2682" t="s">
        <v>650</v>
      </c>
      <c r="F31" s="2682" t="s">
        <v>650</v>
      </c>
      <c r="H31" s="2647"/>
      <c r="I31" s="2301">
        <v>12</v>
      </c>
      <c r="J31" s="2648" t="s">
        <v>698</v>
      </c>
      <c r="K31" s="2644" t="s">
        <v>608</v>
      </c>
      <c r="L31" s="2695"/>
      <c r="M31" s="2247"/>
      <c r="N31" s="4771"/>
      <c r="O31" s="4771"/>
      <c r="P31" s="4771"/>
      <c r="Q31" s="4771"/>
      <c r="R31" s="1169"/>
      <c r="S31" s="2151"/>
      <c r="T31" s="1169"/>
      <c r="AO31" s="2257">
        <v>23</v>
      </c>
    </row>
    <row customHeight="1" ht="48.29999999999999">
      <c r="A32" s="2680"/>
      <c r="B32" s="2679" t="s">
        <v>699</v>
      </c>
      <c r="C32" s="2679" t="s">
        <v>700</v>
      </c>
      <c r="D32" s="2678" t="s">
        <v>639</v>
      </c>
      <c r="E32" s="2682" t="s">
        <v>650</v>
      </c>
      <c r="F32" s="2682" t="s">
        <v>650</v>
      </c>
      <c r="H32" s="2647"/>
      <c r="I32" s="2301">
        <v>13</v>
      </c>
      <c r="J32" s="2648" t="s">
        <v>701</v>
      </c>
      <c r="K32" s="2644" t="s">
        <v>618</v>
      </c>
      <c r="L32" s="1353"/>
      <c r="M32" s="1183"/>
      <c r="N32" s="4768"/>
      <c r="O32" s="4768"/>
      <c r="P32" s="4768"/>
      <c r="Q32" s="4768"/>
      <c r="R32" s="1169"/>
      <c r="S32" s="2151" t="s">
        <v>661</v>
      </c>
      <c r="T32" s="1169"/>
      <c r="AO32" s="2257">
        <v>46</v>
      </c>
    </row>
    <row s="34657" customFormat="1" customHeight="1" ht="48.29999999999999">
      <c r="A33" s="2680"/>
      <c r="B33" s="2679" t="s">
        <v>702</v>
      </c>
      <c r="C33" s="2679" t="s">
        <v>703</v>
      </c>
      <c r="D33" s="2678" t="s">
        <v>639</v>
      </c>
      <c r="E33" s="2682" t="s">
        <v>650</v>
      </c>
      <c r="F33" s="2682" t="s">
        <v>650</v>
      </c>
      <c r="G33" s="2262"/>
      <c r="H33" s="2647"/>
      <c r="I33" s="2301">
        <v>14</v>
      </c>
      <c r="J33" s="2660" t="s">
        <v>704</v>
      </c>
      <c r="K33" s="2649" t="s">
        <v>705</v>
      </c>
      <c r="L33" s="1353"/>
      <c r="M33" s="1183"/>
      <c r="N33" s="4768"/>
      <c r="O33" s="4768"/>
      <c r="P33" s="4768"/>
      <c r="Q33" s="4768"/>
      <c r="R33" s="1169"/>
      <c r="S33" s="2151" t="s">
        <v>661</v>
      </c>
      <c r="T33" s="1169"/>
      <c r="U33" s="2262"/>
      <c r="V33" s="2262"/>
      <c r="AA33" s="2262"/>
      <c r="AD33" s="1170"/>
      <c r="AJ33" s="2258"/>
      <c r="AK33" s="2258"/>
      <c r="AL33" s="2258"/>
      <c r="AM33" s="2258"/>
      <c r="AN33" s="2258"/>
      <c r="AO33" s="1992">
        <v>46</v>
      </c>
    </row>
    <row customHeight="1" ht="108">
      <c r="A34" s="2680"/>
      <c r="B34" s="2679" t="s">
        <v>706</v>
      </c>
      <c r="C34" s="2679" t="s">
        <v>707</v>
      </c>
      <c r="D34" s="2678" t="s">
        <v>649</v>
      </c>
      <c r="E34" s="2682" t="s">
        <v>650</v>
      </c>
      <c r="F34" s="2682" t="s">
        <v>650</v>
      </c>
      <c r="G34" s="2262" t="s">
        <v>606</v>
      </c>
      <c r="H34" s="2647"/>
      <c r="I34" s="2658">
        <v>15</v>
      </c>
      <c r="J34" s="2659" t="s">
        <v>708</v>
      </c>
      <c r="K34" s="2644" t="s">
        <v>324</v>
      </c>
      <c r="L34" s="1011"/>
      <c r="M34" s="1790"/>
      <c r="N34" s="4777"/>
      <c r="O34" s="4777"/>
      <c r="P34" s="4777"/>
      <c r="Q34" s="4777"/>
      <c r="R34" s="1169"/>
      <c r="S34" s="2151" t="s">
        <v>653</v>
      </c>
      <c r="T34" s="1169"/>
      <c r="AO34" s="2257">
        <v>103</v>
      </c>
    </row>
    <row s="35197" customFormat="1" customHeight="1" ht="11.549999999999999">
      <c r="A35" s="1613"/>
      <c r="B35" s="1613"/>
      <c r="C35" s="1613"/>
      <c r="D35" s="1613"/>
      <c r="E35" s="1613"/>
      <c r="F35" s="2262"/>
      <c r="G35" s="2262"/>
      <c r="H35" s="977"/>
      <c r="N35" s="4642"/>
      <c r="O35" s="4642"/>
      <c r="P35" s="4642"/>
      <c r="Q35" s="4642"/>
      <c r="R35" s="1992"/>
      <c r="T35" s="1992"/>
      <c r="U35" s="2262"/>
      <c r="V35" s="2262"/>
      <c r="W35" s="1992"/>
      <c r="X35" s="1992"/>
      <c r="Y35" s="1992"/>
      <c r="Z35" s="1992"/>
      <c r="AA35" s="2262"/>
      <c r="AB35" s="1992"/>
      <c r="AC35" s="1992"/>
      <c r="AD35" s="1170"/>
      <c r="AE35" s="1992"/>
      <c r="AF35" s="1992"/>
      <c r="AG35" s="1992"/>
      <c r="AH35" s="1992"/>
      <c r="AI35" s="1992"/>
      <c r="AJ35" s="2258"/>
      <c r="AK35" s="1248"/>
      <c r="AL35" s="1248"/>
      <c r="AM35" s="1248"/>
      <c r="AN35" s="1248"/>
      <c r="AO35" s="2267">
        <v>11</v>
      </c>
    </row>
    <row s="35197" customFormat="1" customHeight="1" ht="11.549999999999999">
      <c r="A36" s="1613"/>
      <c r="B36" s="1613"/>
      <c r="C36" s="1613"/>
      <c r="D36" s="1613"/>
      <c r="E36" s="1613"/>
      <c r="F36" s="2262"/>
      <c r="G36" s="2262"/>
      <c r="H36" s="977"/>
      <c r="N36" s="4642"/>
      <c r="O36" s="4642"/>
      <c r="P36" s="4642"/>
      <c r="Q36" s="4642"/>
      <c r="R36" s="1992"/>
      <c r="T36" s="1992"/>
      <c r="U36" s="2262"/>
      <c r="V36" s="2262"/>
      <c r="W36" s="1992"/>
      <c r="X36" s="1992"/>
      <c r="Y36" s="1992"/>
      <c r="Z36" s="1992"/>
      <c r="AA36" s="2262"/>
      <c r="AB36" s="1992"/>
      <c r="AC36" s="1992"/>
      <c r="AD36" s="1170"/>
      <c r="AE36" s="1992"/>
      <c r="AF36" s="1992"/>
      <c r="AG36" s="1992"/>
      <c r="AH36" s="1992"/>
      <c r="AI36" s="1992"/>
      <c r="AJ36" s="2258"/>
      <c r="AK36" s="1248"/>
      <c r="AL36" s="1248"/>
      <c r="AM36" s="1248"/>
      <c r="AN36" s="1248"/>
      <c r="AO36" s="2267">
        <v>11</v>
      </c>
    </row>
    <row s="35197" customFormat="1" customHeight="1" ht="11.549999999999999">
      <c r="A37" s="1613"/>
      <c r="B37" s="1613"/>
      <c r="C37" s="1613"/>
      <c r="D37" s="1613"/>
      <c r="E37" s="1613"/>
      <c r="F37" s="2262"/>
      <c r="G37" s="2262"/>
      <c r="H37" s="977"/>
      <c r="L37" s="1248"/>
      <c r="M37" s="1248"/>
      <c r="N37" s="4643"/>
      <c r="O37" s="4643"/>
      <c r="P37" s="4643"/>
      <c r="Q37" s="4643"/>
      <c r="R37" s="1992"/>
      <c r="T37" s="1992"/>
      <c r="U37" s="2262"/>
      <c r="V37" s="2262"/>
      <c r="W37" s="1992"/>
      <c r="X37" s="1992"/>
      <c r="Y37" s="1992"/>
      <c r="Z37" s="1992"/>
      <c r="AA37" s="2262"/>
      <c r="AB37" s="1992"/>
      <c r="AC37" s="1992"/>
      <c r="AD37" s="1170"/>
      <c r="AE37" s="1992"/>
      <c r="AF37" s="1992"/>
      <c r="AG37" s="1992"/>
      <c r="AH37" s="1992"/>
      <c r="AI37" s="1992"/>
      <c r="AJ37" s="2258"/>
      <c r="AK37" s="1248"/>
      <c r="AL37" s="1248"/>
      <c r="AM37" s="1248"/>
      <c r="AN37" s="1248"/>
      <c r="AO37" s="2267">
        <v>11</v>
      </c>
    </row>
    <row s="35197" customFormat="1" customHeight="1" ht="11.549999999999999">
      <c r="A38" s="1613"/>
      <c r="B38" s="1613"/>
      <c r="C38" s="1613"/>
      <c r="D38" s="1613"/>
      <c r="E38" s="1613"/>
      <c r="F38" s="2262"/>
      <c r="G38" s="2262"/>
      <c r="H38" s="977"/>
      <c r="N38" s="4642"/>
      <c r="O38" s="4642"/>
      <c r="P38" s="4642"/>
      <c r="Q38" s="4642"/>
      <c r="R38" s="1992"/>
      <c r="T38" s="1992"/>
      <c r="U38" s="2262"/>
      <c r="V38" s="2262"/>
      <c r="W38" s="1992"/>
      <c r="X38" s="1992"/>
      <c r="Y38" s="1992"/>
      <c r="Z38" s="1992"/>
      <c r="AA38" s="2262"/>
      <c r="AB38" s="1992"/>
      <c r="AC38" s="1992"/>
      <c r="AD38" s="1170"/>
      <c r="AE38" s="1992"/>
      <c r="AF38" s="1992"/>
      <c r="AG38" s="1992"/>
      <c r="AH38" s="1992"/>
      <c r="AI38" s="1992"/>
      <c r="AJ38" s="2258"/>
      <c r="AK38" s="1248"/>
      <c r="AL38" s="1248"/>
      <c r="AM38" s="1248"/>
      <c r="AN38" s="1248"/>
      <c r="AO38" s="2267">
        <v>11</v>
      </c>
    </row>
    <row s="35197" customFormat="1" customHeight="1" ht="11.549999999999999">
      <c r="A39" s="1613"/>
      <c r="B39" s="1613"/>
      <c r="C39" s="1613"/>
      <c r="D39" s="1613"/>
      <c r="E39" s="1613"/>
      <c r="F39" s="2262"/>
      <c r="G39" s="2262"/>
      <c r="H39" s="977"/>
      <c r="N39" s="4642"/>
      <c r="O39" s="4642"/>
      <c r="P39" s="4642"/>
      <c r="Q39" s="4642"/>
      <c r="R39" s="1992"/>
      <c r="T39" s="1992"/>
      <c r="U39" s="2262"/>
      <c r="V39" s="2262"/>
      <c r="W39" s="1992"/>
      <c r="X39" s="1992"/>
      <c r="Y39" s="1992"/>
      <c r="Z39" s="1992"/>
      <c r="AA39" s="2262"/>
      <c r="AB39" s="1992"/>
      <c r="AC39" s="1992"/>
      <c r="AD39" s="1170"/>
      <c r="AE39" s="1992"/>
      <c r="AF39" s="1992"/>
      <c r="AG39" s="1992"/>
      <c r="AH39" s="1992"/>
      <c r="AI39" s="1992"/>
      <c r="AJ39" s="2258"/>
      <c r="AK39" s="1248"/>
      <c r="AL39" s="1248"/>
      <c r="AM39" s="1248"/>
      <c r="AN39" s="1248"/>
      <c r="AO39" s="2267">
        <v>11</v>
      </c>
    </row>
    <row s="35197" customFormat="1" customHeight="1" ht="11.549999999999999">
      <c r="A40" s="1613"/>
      <c r="B40" s="1613"/>
      <c r="C40" s="1613"/>
      <c r="D40" s="1613"/>
      <c r="E40" s="1613"/>
      <c r="F40" s="2262"/>
      <c r="G40" s="2262"/>
      <c r="H40" s="977"/>
      <c r="N40" s="4642"/>
      <c r="O40" s="4642"/>
      <c r="P40" s="4642"/>
      <c r="Q40" s="4642"/>
      <c r="R40" s="1992"/>
      <c r="T40" s="1992"/>
      <c r="U40" s="2262"/>
      <c r="V40" s="2262"/>
      <c r="W40" s="1992"/>
      <c r="X40" s="1992"/>
      <c r="Y40" s="1992"/>
      <c r="Z40" s="1992"/>
      <c r="AA40" s="2262"/>
      <c r="AB40" s="1992"/>
      <c r="AC40" s="1992"/>
      <c r="AD40" s="1170"/>
      <c r="AE40" s="1992"/>
      <c r="AF40" s="1992"/>
      <c r="AG40" s="1992"/>
      <c r="AH40" s="1992"/>
      <c r="AI40" s="1992"/>
      <c r="AJ40" s="2258"/>
      <c r="AK40" s="1248"/>
      <c r="AL40" s="1248"/>
      <c r="AM40" s="1248"/>
      <c r="AN40" s="1248"/>
      <c r="AO40" s="2267">
        <v>11</v>
      </c>
    </row>
    <row s="35197" customFormat="1" customHeight="1" ht="11.549999999999999">
      <c r="A41" s="1613"/>
      <c r="B41" s="1613"/>
      <c r="C41" s="1613"/>
      <c r="D41" s="1613"/>
      <c r="E41" s="1613"/>
      <c r="F41" s="2262"/>
      <c r="G41" s="2262"/>
      <c r="H41" s="977"/>
      <c r="N41" s="4642"/>
      <c r="O41" s="4642"/>
      <c r="P41" s="4642"/>
      <c r="Q41" s="4642"/>
      <c r="R41" s="1992"/>
      <c r="T41" s="1992"/>
      <c r="U41" s="2262"/>
      <c r="V41" s="2262"/>
      <c r="W41" s="1992"/>
      <c r="X41" s="1992"/>
      <c r="Y41" s="1992"/>
      <c r="Z41" s="1992"/>
      <c r="AA41" s="2262"/>
      <c r="AB41" s="1992"/>
      <c r="AC41" s="1992"/>
      <c r="AD41" s="1170"/>
      <c r="AE41" s="1992"/>
      <c r="AF41" s="1992"/>
      <c r="AG41" s="1992"/>
      <c r="AH41" s="1992"/>
      <c r="AI41" s="1992"/>
      <c r="AJ41" s="2258"/>
      <c r="AK41" s="1248"/>
      <c r="AL41" s="1248"/>
      <c r="AM41" s="1248"/>
      <c r="AN41" s="1248"/>
      <c r="AO41" s="2267">
        <v>11</v>
      </c>
    </row>
    <row s="35197" customFormat="1" customHeight="1" ht="11.549999999999999">
      <c r="A42" s="1613"/>
      <c r="B42" s="1613"/>
      <c r="C42" s="1613"/>
      <c r="D42" s="1613"/>
      <c r="E42" s="1613"/>
      <c r="F42" s="2262"/>
      <c r="G42" s="2262"/>
      <c r="H42" s="977"/>
      <c r="N42" s="4642"/>
      <c r="O42" s="4642"/>
      <c r="P42" s="4642"/>
      <c r="Q42" s="4642"/>
      <c r="R42" s="1992"/>
      <c r="T42" s="1992"/>
      <c r="U42" s="2262"/>
      <c r="V42" s="2262"/>
      <c r="W42" s="1992"/>
      <c r="X42" s="1992"/>
      <c r="Y42" s="1992"/>
      <c r="Z42" s="1992"/>
      <c r="AA42" s="2262"/>
      <c r="AB42" s="1992"/>
      <c r="AC42" s="1992"/>
      <c r="AD42" s="1170"/>
      <c r="AE42" s="1992"/>
      <c r="AF42" s="1992"/>
      <c r="AG42" s="1992"/>
      <c r="AH42" s="1992"/>
      <c r="AI42" s="1992"/>
      <c r="AJ42" s="2258"/>
      <c r="AK42" s="1248"/>
      <c r="AL42" s="1248"/>
      <c r="AM42" s="1248"/>
      <c r="AN42" s="1248"/>
      <c r="AO42" s="2267">
        <v>11</v>
      </c>
    </row>
    <row s="35197" customFormat="1" customHeight="1" ht="11.549999999999999">
      <c r="A43" s="1613"/>
      <c r="B43" s="1613"/>
      <c r="C43" s="1613"/>
      <c r="D43" s="1613"/>
      <c r="E43" s="1613"/>
      <c r="F43" s="2262"/>
      <c r="G43" s="2262"/>
      <c r="H43" s="977"/>
      <c r="N43" s="4642"/>
      <c r="O43" s="4642"/>
      <c r="P43" s="4642"/>
      <c r="Q43" s="4642"/>
      <c r="R43" s="1992"/>
      <c r="T43" s="1992"/>
      <c r="U43" s="2262"/>
      <c r="V43" s="2262"/>
      <c r="W43" s="1992"/>
      <c r="X43" s="1992"/>
      <c r="Y43" s="1992"/>
      <c r="Z43" s="1992"/>
      <c r="AA43" s="2262"/>
      <c r="AB43" s="1992"/>
      <c r="AC43" s="1992"/>
      <c r="AD43" s="1170"/>
      <c r="AE43" s="1992"/>
      <c r="AF43" s="1992"/>
      <c r="AG43" s="1992"/>
      <c r="AH43" s="1992"/>
      <c r="AI43" s="1992"/>
      <c r="AJ43" s="2258"/>
      <c r="AK43" s="1248"/>
      <c r="AL43" s="1248"/>
      <c r="AM43" s="1248"/>
      <c r="AN43" s="1248"/>
      <c r="AO43" s="2267">
        <v>11</v>
      </c>
    </row>
    <row s="35197" customFormat="1" customHeight="1" ht="11.549999999999999">
      <c r="A44" s="1613"/>
      <c r="B44" s="1613"/>
      <c r="C44" s="1613"/>
      <c r="D44" s="1613"/>
      <c r="E44" s="1613"/>
      <c r="F44" s="2262"/>
      <c r="G44" s="2262"/>
      <c r="H44" s="977"/>
      <c r="N44" s="4642"/>
      <c r="O44" s="4642"/>
      <c r="P44" s="4642"/>
      <c r="Q44" s="4642"/>
      <c r="R44" s="1992"/>
      <c r="T44" s="1992"/>
      <c r="U44" s="2262"/>
      <c r="V44" s="2262"/>
      <c r="W44" s="1992"/>
      <c r="X44" s="1992"/>
      <c r="Y44" s="1992"/>
      <c r="Z44" s="1992"/>
      <c r="AA44" s="2262"/>
      <c r="AB44" s="1992"/>
      <c r="AC44" s="1992"/>
      <c r="AD44" s="1170"/>
      <c r="AE44" s="1992"/>
      <c r="AF44" s="1992"/>
      <c r="AG44" s="1992"/>
      <c r="AH44" s="1992"/>
      <c r="AI44" s="1992"/>
      <c r="AJ44" s="2258"/>
      <c r="AK44" s="1248"/>
      <c r="AL44" s="1248"/>
      <c r="AM44" s="1248"/>
      <c r="AN44" s="1248"/>
      <c r="AO44" s="2267">
        <v>11</v>
      </c>
    </row>
    <row s="35197" customFormat="1" customHeight="1" ht="11.549999999999999">
      <c r="A45" s="1613"/>
      <c r="B45" s="1613"/>
      <c r="C45" s="1613"/>
      <c r="D45" s="1613"/>
      <c r="E45" s="1613"/>
      <c r="F45" s="2262"/>
      <c r="G45" s="2262"/>
      <c r="H45" s="977"/>
      <c r="N45" s="4642"/>
      <c r="O45" s="4642"/>
      <c r="P45" s="4642"/>
      <c r="Q45" s="4642"/>
      <c r="R45" s="1992"/>
      <c r="T45" s="1992"/>
      <c r="U45" s="2262"/>
      <c r="V45" s="2262"/>
      <c r="W45" s="1992"/>
      <c r="X45" s="1992"/>
      <c r="Y45" s="1992"/>
      <c r="Z45" s="1992"/>
      <c r="AA45" s="2262"/>
      <c r="AB45" s="1992"/>
      <c r="AC45" s="1992"/>
      <c r="AD45" s="1170"/>
      <c r="AE45" s="1992"/>
      <c r="AF45" s="1992"/>
      <c r="AG45" s="1992"/>
      <c r="AH45" s="1992"/>
      <c r="AI45" s="1992"/>
      <c r="AJ45" s="2258"/>
      <c r="AK45" s="1248"/>
      <c r="AL45" s="1248"/>
      <c r="AM45" s="1248"/>
      <c r="AN45" s="1248"/>
      <c r="AO45" s="2267">
        <v>11</v>
      </c>
    </row>
    <row s="35197" customFormat="1" customHeight="1" ht="11.549999999999999">
      <c r="A46" s="1613"/>
      <c r="B46" s="1613"/>
      <c r="C46" s="1613"/>
      <c r="D46" s="1613"/>
      <c r="E46" s="1613"/>
      <c r="F46" s="2262"/>
      <c r="G46" s="2262"/>
      <c r="H46" s="977"/>
      <c r="N46" s="4642"/>
      <c r="O46" s="4642"/>
      <c r="P46" s="4642"/>
      <c r="Q46" s="4642"/>
      <c r="R46" s="1992"/>
      <c r="T46" s="1992"/>
      <c r="U46" s="2262"/>
      <c r="V46" s="2262"/>
      <c r="W46" s="1992"/>
      <c r="X46" s="1992"/>
      <c r="Y46" s="1992"/>
      <c r="Z46" s="1992"/>
      <c r="AA46" s="2262"/>
      <c r="AB46" s="1992"/>
      <c r="AC46" s="1992"/>
      <c r="AD46" s="1170"/>
      <c r="AE46" s="1992"/>
      <c r="AF46" s="1992"/>
      <c r="AG46" s="1992"/>
      <c r="AH46" s="1992"/>
      <c r="AI46" s="1992"/>
      <c r="AJ46" s="2258"/>
      <c r="AK46" s="1248"/>
      <c r="AL46" s="1248"/>
      <c r="AM46" s="1248"/>
      <c r="AN46" s="1248"/>
      <c r="AO46" s="2267">
        <v>11</v>
      </c>
    </row>
    <row s="35197" customFormat="1" customHeight="1" ht="11.549999999999999">
      <c r="A47" s="1613"/>
      <c r="B47" s="1613"/>
      <c r="C47" s="1613"/>
      <c r="D47" s="1613"/>
      <c r="E47" s="1613"/>
      <c r="F47" s="2262"/>
      <c r="G47" s="2262"/>
      <c r="H47" s="977"/>
      <c r="N47" s="4642"/>
      <c r="O47" s="4642"/>
      <c r="P47" s="4642"/>
      <c r="Q47" s="4642"/>
      <c r="R47" s="1992"/>
      <c r="T47" s="1992"/>
      <c r="U47" s="2262"/>
      <c r="V47" s="2262"/>
      <c r="W47" s="1992"/>
      <c r="X47" s="1992"/>
      <c r="Y47" s="1992"/>
      <c r="Z47" s="1992"/>
      <c r="AA47" s="2262"/>
      <c r="AB47" s="1992"/>
      <c r="AC47" s="1992"/>
      <c r="AD47" s="1170"/>
      <c r="AE47" s="1992"/>
      <c r="AF47" s="1992"/>
      <c r="AG47" s="1992"/>
      <c r="AH47" s="1992"/>
      <c r="AI47" s="1992"/>
      <c r="AJ47" s="2258"/>
      <c r="AK47" s="1248"/>
      <c r="AL47" s="1248"/>
      <c r="AM47" s="1248"/>
      <c r="AN47" s="1248"/>
      <c r="AO47" s="2267">
        <v>11</v>
      </c>
    </row>
    <row s="35197" customFormat="1" customHeight="1" ht="11.549999999999999">
      <c r="A48" s="1613"/>
      <c r="B48" s="1613"/>
      <c r="C48" s="1613"/>
      <c r="D48" s="1613"/>
      <c r="E48" s="1613"/>
      <c r="F48" s="2262"/>
      <c r="G48" s="2262"/>
      <c r="H48" s="977"/>
      <c r="N48" s="4642"/>
      <c r="O48" s="4642"/>
      <c r="P48" s="4642"/>
      <c r="Q48" s="4642"/>
      <c r="R48" s="1992"/>
      <c r="T48" s="1992"/>
      <c r="U48" s="2262"/>
      <c r="V48" s="2262"/>
      <c r="W48" s="1992"/>
      <c r="X48" s="1992"/>
      <c r="Y48" s="1992"/>
      <c r="Z48" s="1992"/>
      <c r="AA48" s="2262"/>
      <c r="AB48" s="1992"/>
      <c r="AC48" s="1992"/>
      <c r="AD48" s="1170"/>
      <c r="AE48" s="1992"/>
      <c r="AF48" s="1992"/>
      <c r="AG48" s="1992"/>
      <c r="AH48" s="1992"/>
      <c r="AI48" s="1992"/>
      <c r="AJ48" s="2258"/>
      <c r="AK48" s="1248"/>
      <c r="AL48" s="1248"/>
      <c r="AM48" s="1248"/>
      <c r="AN48" s="1248"/>
      <c r="AO48" s="2267">
        <v>11</v>
      </c>
    </row>
    <row s="35197" customFormat="1" customHeight="1" ht="11.549999999999999">
      <c r="A49" s="1613"/>
      <c r="B49" s="1613"/>
      <c r="C49" s="1613"/>
      <c r="D49" s="1613"/>
      <c r="E49" s="1613"/>
      <c r="F49" s="2262"/>
      <c r="G49" s="2262"/>
      <c r="H49" s="977"/>
      <c r="N49" s="4642"/>
      <c r="O49" s="4642"/>
      <c r="P49" s="4642"/>
      <c r="Q49" s="4642"/>
      <c r="R49" s="1992"/>
      <c r="T49" s="1992"/>
      <c r="U49" s="2262"/>
      <c r="V49" s="2262"/>
      <c r="W49" s="1992"/>
      <c r="X49" s="1992"/>
      <c r="Y49" s="1992"/>
      <c r="Z49" s="1992"/>
      <c r="AA49" s="2262"/>
      <c r="AB49" s="1992"/>
      <c r="AC49" s="1992"/>
      <c r="AD49" s="1170"/>
      <c r="AE49" s="1992"/>
      <c r="AF49" s="1992"/>
      <c r="AG49" s="1992"/>
      <c r="AH49" s="1992"/>
      <c r="AI49" s="1992"/>
      <c r="AJ49" s="2258"/>
      <c r="AK49" s="1248"/>
      <c r="AL49" s="1248"/>
      <c r="AM49" s="1248"/>
      <c r="AN49" s="1248"/>
      <c r="AO49" s="2267">
        <v>11</v>
      </c>
    </row>
    <row s="35197" customFormat="1" customHeight="1" ht="11.549999999999999">
      <c r="A50" s="1613"/>
      <c r="B50" s="1613"/>
      <c r="C50" s="1613"/>
      <c r="D50" s="1613"/>
      <c r="E50" s="1613"/>
      <c r="F50" s="2262"/>
      <c r="G50" s="2262"/>
      <c r="H50" s="977"/>
      <c r="N50" s="4642"/>
      <c r="O50" s="4642"/>
      <c r="P50" s="4642"/>
      <c r="Q50" s="4642"/>
      <c r="R50" s="1992"/>
      <c r="T50" s="1992"/>
      <c r="U50" s="2262"/>
      <c r="V50" s="2262"/>
      <c r="W50" s="1992"/>
      <c r="X50" s="1992"/>
      <c r="Y50" s="1992"/>
      <c r="Z50" s="1992"/>
      <c r="AA50" s="2262"/>
      <c r="AB50" s="1992"/>
      <c r="AC50" s="1992"/>
      <c r="AD50" s="1170"/>
      <c r="AE50" s="1992"/>
      <c r="AF50" s="1992"/>
      <c r="AG50" s="1992"/>
      <c r="AH50" s="1992"/>
      <c r="AI50" s="1992"/>
      <c r="AJ50" s="2258"/>
      <c r="AK50" s="1248"/>
      <c r="AL50" s="1248"/>
      <c r="AM50" s="1248"/>
      <c r="AN50" s="1248"/>
      <c r="AO50" s="2267">
        <v>11</v>
      </c>
    </row>
    <row s="35197" customFormat="1" customHeight="1" ht="11.549999999999999">
      <c r="A51" s="1613"/>
      <c r="B51" s="1613"/>
      <c r="C51" s="1613"/>
      <c r="D51" s="1613"/>
      <c r="E51" s="1613"/>
      <c r="F51" s="2262"/>
      <c r="G51" s="2262"/>
      <c r="H51" s="977"/>
      <c r="N51" s="4642"/>
      <c r="O51" s="4642"/>
      <c r="P51" s="4642"/>
      <c r="Q51" s="4642"/>
      <c r="R51" s="1992"/>
      <c r="T51" s="1992"/>
      <c r="U51" s="2262"/>
      <c r="V51" s="2262"/>
      <c r="W51" s="1992"/>
      <c r="X51" s="1992"/>
      <c r="Y51" s="1992"/>
      <c r="Z51" s="1992"/>
      <c r="AA51" s="2262"/>
      <c r="AB51" s="1992"/>
      <c r="AC51" s="1992"/>
      <c r="AD51" s="1170"/>
      <c r="AE51" s="1992"/>
      <c r="AF51" s="1992"/>
      <c r="AG51" s="1992"/>
      <c r="AH51" s="1992"/>
      <c r="AI51" s="1992"/>
      <c r="AJ51" s="2258"/>
      <c r="AK51" s="1248"/>
      <c r="AL51" s="1248"/>
      <c r="AM51" s="1248"/>
      <c r="AN51" s="1248"/>
      <c r="AO51" s="2267">
        <v>11</v>
      </c>
    </row>
    <row s="35197" customFormat="1" customHeight="1" ht="11.549999999999999">
      <c r="A52" s="1613"/>
      <c r="B52" s="1613"/>
      <c r="C52" s="1613"/>
      <c r="D52" s="1613"/>
      <c r="E52" s="1613"/>
      <c r="F52" s="2262"/>
      <c r="G52" s="2262"/>
      <c r="H52" s="977"/>
      <c r="N52" s="4642"/>
      <c r="O52" s="4642"/>
      <c r="P52" s="4642"/>
      <c r="Q52" s="4642"/>
      <c r="R52" s="1992"/>
      <c r="T52" s="1992"/>
      <c r="U52" s="2262"/>
      <c r="V52" s="2262"/>
      <c r="W52" s="1992"/>
      <c r="X52" s="1992"/>
      <c r="Y52" s="1992"/>
      <c r="Z52" s="1992"/>
      <c r="AA52" s="2262"/>
      <c r="AB52" s="1992"/>
      <c r="AC52" s="1992"/>
      <c r="AD52" s="1170"/>
      <c r="AE52" s="1992"/>
      <c r="AF52" s="1992"/>
      <c r="AG52" s="1992"/>
      <c r="AH52" s="1992"/>
      <c r="AI52" s="1992"/>
      <c r="AJ52" s="2258"/>
      <c r="AK52" s="1248"/>
      <c r="AL52" s="1248"/>
      <c r="AM52" s="1248"/>
      <c r="AN52" s="1248"/>
      <c r="AO52" s="2267">
        <v>11</v>
      </c>
    </row>
    <row s="35197" customFormat="1" customHeight="1" ht="11.549999999999999">
      <c r="A53" s="1613"/>
      <c r="B53" s="1613"/>
      <c r="C53" s="1613"/>
      <c r="D53" s="1613"/>
      <c r="E53" s="1613"/>
      <c r="F53" s="2262"/>
      <c r="G53" s="2262"/>
      <c r="H53" s="977"/>
      <c r="N53" s="4642"/>
      <c r="O53" s="4642"/>
      <c r="P53" s="4642"/>
      <c r="Q53" s="4642"/>
      <c r="R53" s="1992"/>
      <c r="T53" s="1992"/>
      <c r="U53" s="2262"/>
      <c r="V53" s="2262"/>
      <c r="W53" s="1992"/>
      <c r="X53" s="1992"/>
      <c r="Y53" s="1992"/>
      <c r="Z53" s="1992"/>
      <c r="AA53" s="2262"/>
      <c r="AB53" s="1992"/>
      <c r="AC53" s="1992"/>
      <c r="AD53" s="1170"/>
      <c r="AE53" s="1992"/>
      <c r="AF53" s="1992"/>
      <c r="AG53" s="1992"/>
      <c r="AH53" s="1992"/>
      <c r="AI53" s="1992"/>
      <c r="AJ53" s="2258"/>
      <c r="AK53" s="1248"/>
      <c r="AL53" s="1248"/>
      <c r="AM53" s="1248"/>
      <c r="AN53" s="1248"/>
      <c r="AO53" s="2267">
        <v>11</v>
      </c>
    </row>
    <row s="35197" customFormat="1" customHeight="1" ht="11.549999999999999">
      <c r="A54" s="1613"/>
      <c r="B54" s="1613"/>
      <c r="C54" s="1613"/>
      <c r="D54" s="1613"/>
      <c r="E54" s="1613"/>
      <c r="F54" s="2262"/>
      <c r="G54" s="2262"/>
      <c r="H54" s="977"/>
      <c r="N54" s="4642"/>
      <c r="O54" s="4642"/>
      <c r="P54" s="4642"/>
      <c r="Q54" s="4642"/>
      <c r="R54" s="1992"/>
      <c r="T54" s="1992"/>
      <c r="U54" s="2262"/>
      <c r="V54" s="2262"/>
      <c r="W54" s="1992"/>
      <c r="X54" s="1992"/>
      <c r="Y54" s="1992"/>
      <c r="Z54" s="1992"/>
      <c r="AA54" s="2262"/>
      <c r="AB54" s="1992"/>
      <c r="AC54" s="1992"/>
      <c r="AD54" s="1170"/>
      <c r="AE54" s="1992"/>
      <c r="AF54" s="1992"/>
      <c r="AG54" s="1992"/>
      <c r="AH54" s="1992"/>
      <c r="AI54" s="1992"/>
      <c r="AJ54" s="2258"/>
      <c r="AK54" s="1248"/>
      <c r="AL54" s="1248"/>
      <c r="AM54" s="1248"/>
      <c r="AN54" s="1248"/>
      <c r="AO54" s="2267">
        <v>11</v>
      </c>
    </row>
    <row s="35197" customFormat="1" customHeight="1" ht="11.549999999999999">
      <c r="A55" s="1613"/>
      <c r="B55" s="1613"/>
      <c r="C55" s="1613"/>
      <c r="D55" s="1613"/>
      <c r="E55" s="1613"/>
      <c r="F55" s="2262"/>
      <c r="G55" s="2262"/>
      <c r="H55" s="977"/>
      <c r="N55" s="4642"/>
      <c r="O55" s="4642"/>
      <c r="P55" s="4642"/>
      <c r="Q55" s="4642"/>
      <c r="R55" s="1992"/>
      <c r="T55" s="1992"/>
      <c r="U55" s="2262"/>
      <c r="V55" s="2262"/>
      <c r="W55" s="1992"/>
      <c r="X55" s="1992"/>
      <c r="Y55" s="1992"/>
      <c r="Z55" s="1992"/>
      <c r="AA55" s="2262"/>
      <c r="AB55" s="1992"/>
      <c r="AC55" s="1992"/>
      <c r="AD55" s="1170"/>
      <c r="AE55" s="1992"/>
      <c r="AF55" s="1992"/>
      <c r="AG55" s="1992"/>
      <c r="AH55" s="1992"/>
      <c r="AI55" s="1992"/>
      <c r="AJ55" s="2258"/>
      <c r="AK55" s="1248"/>
      <c r="AL55" s="1248"/>
      <c r="AM55" s="1248"/>
      <c r="AN55" s="1248"/>
      <c r="AO55" s="2267">
        <v>11</v>
      </c>
    </row>
    <row s="35197" customFormat="1" customHeight="1" ht="11.549999999999999">
      <c r="A56" s="1613"/>
      <c r="B56" s="1613"/>
      <c r="C56" s="1613"/>
      <c r="D56" s="1613"/>
      <c r="E56" s="1613"/>
      <c r="F56" s="2262"/>
      <c r="G56" s="2262"/>
      <c r="H56" s="977"/>
      <c r="N56" s="4642"/>
      <c r="O56" s="4642"/>
      <c r="P56" s="4642"/>
      <c r="Q56" s="4642"/>
      <c r="R56" s="1992"/>
      <c r="T56" s="1992"/>
      <c r="U56" s="2262"/>
      <c r="V56" s="2262"/>
      <c r="W56" s="1992"/>
      <c r="X56" s="1992"/>
      <c r="Y56" s="1992"/>
      <c r="Z56" s="1992"/>
      <c r="AA56" s="2262"/>
      <c r="AB56" s="1992"/>
      <c r="AC56" s="1992"/>
      <c r="AD56" s="1170"/>
      <c r="AE56" s="1992"/>
      <c r="AF56" s="1992"/>
      <c r="AG56" s="1992"/>
      <c r="AH56" s="1992"/>
      <c r="AI56" s="1992"/>
      <c r="AJ56" s="2258"/>
      <c r="AK56" s="1248"/>
      <c r="AL56" s="1248"/>
      <c r="AM56" s="1248"/>
      <c r="AN56" s="1248"/>
      <c r="AO56" s="2267">
        <v>11</v>
      </c>
    </row>
    <row s="35197" customFormat="1" customHeight="1" ht="11.549999999999999">
      <c r="A57" s="1613"/>
      <c r="B57" s="1613"/>
      <c r="C57" s="1613"/>
      <c r="D57" s="1613"/>
      <c r="E57" s="1613"/>
      <c r="F57" s="2262"/>
      <c r="G57" s="2262"/>
      <c r="H57" s="977"/>
      <c r="N57" s="4642"/>
      <c r="O57" s="4642"/>
      <c r="P57" s="4642"/>
      <c r="Q57" s="4642"/>
      <c r="R57" s="1992"/>
      <c r="T57" s="1992"/>
      <c r="U57" s="2262"/>
      <c r="V57" s="2262"/>
      <c r="W57" s="1992"/>
      <c r="X57" s="1992"/>
      <c r="Y57" s="1992"/>
      <c r="Z57" s="1992"/>
      <c r="AA57" s="2262"/>
      <c r="AB57" s="1992"/>
      <c r="AC57" s="1992"/>
      <c r="AD57" s="1170"/>
      <c r="AE57" s="1992"/>
      <c r="AF57" s="1992"/>
      <c r="AG57" s="1992"/>
      <c r="AH57" s="1992"/>
      <c r="AI57" s="1992"/>
      <c r="AJ57" s="2258"/>
      <c r="AK57" s="1248"/>
      <c r="AL57" s="1248"/>
      <c r="AM57" s="1248"/>
      <c r="AN57" s="1248"/>
      <c r="AO57" s="2267">
        <v>11</v>
      </c>
    </row>
    <row s="35197" customFormat="1" customHeight="1" ht="11.549999999999999">
      <c r="A58" s="1613"/>
      <c r="B58" s="1613"/>
      <c r="C58" s="1613"/>
      <c r="D58" s="1613"/>
      <c r="E58" s="1613"/>
      <c r="F58" s="2262"/>
      <c r="G58" s="2262"/>
      <c r="H58" s="977"/>
      <c r="N58" s="4642"/>
      <c r="O58" s="4642"/>
      <c r="P58" s="4642"/>
      <c r="Q58" s="4642"/>
      <c r="R58" s="1992"/>
      <c r="T58" s="1992"/>
      <c r="U58" s="2262"/>
      <c r="V58" s="2262"/>
      <c r="W58" s="1992"/>
      <c r="X58" s="1992"/>
      <c r="Y58" s="1992"/>
      <c r="Z58" s="1992"/>
      <c r="AA58" s="2262"/>
      <c r="AB58" s="1992"/>
      <c r="AC58" s="1992"/>
      <c r="AD58" s="1170"/>
      <c r="AE58" s="1992"/>
      <c r="AF58" s="1992"/>
      <c r="AG58" s="1992"/>
      <c r="AH58" s="1992"/>
      <c r="AI58" s="1992"/>
      <c r="AJ58" s="2258"/>
      <c r="AK58" s="1248"/>
      <c r="AL58" s="1248"/>
      <c r="AM58" s="1248"/>
      <c r="AN58" s="1248"/>
      <c r="AO58" s="2267">
        <v>11</v>
      </c>
    </row>
    <row s="35197" customFormat="1" customHeight="1" ht="11.549999999999999">
      <c r="A59" s="1613"/>
      <c r="B59" s="1613"/>
      <c r="C59" s="1613"/>
      <c r="D59" s="1613"/>
      <c r="E59" s="1613"/>
      <c r="F59" s="2262"/>
      <c r="G59" s="2262"/>
      <c r="H59" s="977"/>
      <c r="N59" s="4642"/>
      <c r="O59" s="4642"/>
      <c r="P59" s="4642"/>
      <c r="Q59" s="4642"/>
      <c r="R59" s="1992"/>
      <c r="T59" s="1992"/>
      <c r="U59" s="2262"/>
      <c r="V59" s="2262"/>
      <c r="W59" s="1992"/>
      <c r="X59" s="1992"/>
      <c r="Y59" s="1992"/>
      <c r="Z59" s="1992"/>
      <c r="AA59" s="2262"/>
      <c r="AB59" s="1992"/>
      <c r="AC59" s="1992"/>
      <c r="AD59" s="1170"/>
      <c r="AE59" s="1992"/>
      <c r="AF59" s="1992"/>
      <c r="AG59" s="1992"/>
      <c r="AH59" s="1992"/>
      <c r="AI59" s="1992"/>
      <c r="AJ59" s="2258"/>
      <c r="AK59" s="1248"/>
      <c r="AL59" s="1248"/>
      <c r="AM59" s="1248"/>
      <c r="AN59" s="1248"/>
      <c r="AO59" s="2267">
        <v>11</v>
      </c>
    </row>
    <row s="35197" customFormat="1" customHeight="1" ht="11.549999999999999">
      <c r="A60" s="1613"/>
      <c r="B60" s="1613"/>
      <c r="C60" s="1613"/>
      <c r="D60" s="1613"/>
      <c r="E60" s="1613"/>
      <c r="F60" s="2262"/>
      <c r="G60" s="2262"/>
      <c r="H60" s="977"/>
      <c r="N60" s="4642"/>
      <c r="O60" s="4642"/>
      <c r="P60" s="4642"/>
      <c r="Q60" s="4642"/>
      <c r="R60" s="1992"/>
      <c r="T60" s="1992"/>
      <c r="U60" s="2262"/>
      <c r="V60" s="2262"/>
      <c r="W60" s="1992"/>
      <c r="X60" s="1992"/>
      <c r="Y60" s="1992"/>
      <c r="Z60" s="1992"/>
      <c r="AA60" s="2262"/>
      <c r="AB60" s="1992"/>
      <c r="AC60" s="1992"/>
      <c r="AD60" s="1170"/>
      <c r="AE60" s="1992"/>
      <c r="AF60" s="1992"/>
      <c r="AG60" s="1992"/>
      <c r="AH60" s="1992"/>
      <c r="AI60" s="1992"/>
      <c r="AJ60" s="2258"/>
      <c r="AK60" s="1248"/>
      <c r="AL60" s="1248"/>
      <c r="AM60" s="1248"/>
      <c r="AN60" s="1248"/>
      <c r="AO60" s="2267">
        <v>11</v>
      </c>
    </row>
    <row s="35197" customFormat="1" customHeight="1" ht="11.549999999999999">
      <c r="A61" s="1613"/>
      <c r="B61" s="1613"/>
      <c r="C61" s="1613"/>
      <c r="D61" s="1613"/>
      <c r="E61" s="1613"/>
      <c r="F61" s="2262"/>
      <c r="G61" s="2262"/>
      <c r="H61" s="977"/>
      <c r="N61" s="4642"/>
      <c r="O61" s="4642"/>
      <c r="P61" s="4642"/>
      <c r="Q61" s="4642"/>
      <c r="R61" s="1992"/>
      <c r="T61" s="1992"/>
      <c r="U61" s="2262"/>
      <c r="V61" s="2262"/>
      <c r="W61" s="1992"/>
      <c r="X61" s="1992"/>
      <c r="Y61" s="1992"/>
      <c r="Z61" s="1992"/>
      <c r="AA61" s="2262"/>
      <c r="AB61" s="1992"/>
      <c r="AC61" s="1992"/>
      <c r="AD61" s="1170"/>
      <c r="AE61" s="1992"/>
      <c r="AF61" s="1992"/>
      <c r="AG61" s="1992"/>
      <c r="AH61" s="1992"/>
      <c r="AI61" s="1992"/>
      <c r="AJ61" s="2258"/>
      <c r="AK61" s="1248"/>
      <c r="AL61" s="1248"/>
      <c r="AM61" s="1248"/>
      <c r="AN61" s="1248"/>
      <c r="AO61" s="2267">
        <v>11</v>
      </c>
    </row>
    <row s="35197" customFormat="1" customHeight="1" ht="11.549999999999999">
      <c r="A62" s="1613"/>
      <c r="B62" s="1613"/>
      <c r="C62" s="1613"/>
      <c r="D62" s="1613"/>
      <c r="E62" s="1613"/>
      <c r="F62" s="2262"/>
      <c r="G62" s="2262"/>
      <c r="H62" s="977"/>
      <c r="N62" s="4642"/>
      <c r="O62" s="4642"/>
      <c r="P62" s="4642"/>
      <c r="Q62" s="4642"/>
      <c r="R62" s="1992"/>
      <c r="T62" s="1992"/>
      <c r="U62" s="2262"/>
      <c r="V62" s="2262"/>
      <c r="W62" s="1992"/>
      <c r="X62" s="1992"/>
      <c r="Y62" s="1992"/>
      <c r="Z62" s="1992"/>
      <c r="AA62" s="2262"/>
      <c r="AB62" s="1992"/>
      <c r="AC62" s="1992"/>
      <c r="AD62" s="1170"/>
      <c r="AE62" s="1992"/>
      <c r="AF62" s="1992"/>
      <c r="AG62" s="1992"/>
      <c r="AH62" s="1992"/>
      <c r="AI62" s="1992"/>
      <c r="AJ62" s="2258"/>
      <c r="AK62" s="1248"/>
      <c r="AL62" s="1248"/>
      <c r="AM62" s="1248"/>
      <c r="AN62" s="1248"/>
      <c r="AO62" s="2267">
        <v>11</v>
      </c>
    </row>
    <row s="35197" customFormat="1" customHeight="1" ht="11.549999999999999">
      <c r="A63" s="1613"/>
      <c r="B63" s="1613"/>
      <c r="C63" s="1613"/>
      <c r="D63" s="1613"/>
      <c r="E63" s="1613"/>
      <c r="F63" s="2262"/>
      <c r="G63" s="2262"/>
      <c r="H63" s="977"/>
      <c r="N63" s="4642"/>
      <c r="O63" s="4642"/>
      <c r="P63" s="4642"/>
      <c r="Q63" s="4642"/>
      <c r="R63" s="1992"/>
      <c r="T63" s="1992"/>
      <c r="U63" s="2262"/>
      <c r="V63" s="2262"/>
      <c r="W63" s="1992"/>
      <c r="X63" s="1992"/>
      <c r="Y63" s="1992"/>
      <c r="Z63" s="1992"/>
      <c r="AA63" s="2262"/>
      <c r="AB63" s="1992"/>
      <c r="AC63" s="1992"/>
      <c r="AD63" s="1170"/>
      <c r="AE63" s="1992"/>
      <c r="AF63" s="1992"/>
      <c r="AG63" s="1992"/>
      <c r="AH63" s="1992"/>
      <c r="AI63" s="1992"/>
      <c r="AJ63" s="2258"/>
      <c r="AK63" s="1248"/>
      <c r="AL63" s="1248"/>
      <c r="AM63" s="1248"/>
      <c r="AN63" s="1248"/>
      <c r="AO63" s="2267">
        <v>11</v>
      </c>
    </row>
    <row s="35197" customFormat="1" customHeight="1" ht="11.549999999999999">
      <c r="A64" s="1613"/>
      <c r="B64" s="1613"/>
      <c r="C64" s="1613"/>
      <c r="D64" s="1613"/>
      <c r="E64" s="1613"/>
      <c r="F64" s="2262"/>
      <c r="G64" s="2262"/>
      <c r="H64" s="977"/>
      <c r="N64" s="4642"/>
      <c r="O64" s="4642"/>
      <c r="P64" s="4642"/>
      <c r="Q64" s="4642"/>
      <c r="R64" s="1992"/>
      <c r="T64" s="1992"/>
      <c r="U64" s="2262"/>
      <c r="V64" s="2262"/>
      <c r="W64" s="1992"/>
      <c r="X64" s="1992"/>
      <c r="Y64" s="1992"/>
      <c r="Z64" s="1992"/>
      <c r="AA64" s="2262"/>
      <c r="AB64" s="1992"/>
      <c r="AC64" s="1992"/>
      <c r="AD64" s="1170"/>
      <c r="AE64" s="1992"/>
      <c r="AF64" s="1992"/>
      <c r="AG64" s="1992"/>
      <c r="AH64" s="1992"/>
      <c r="AI64" s="1992"/>
      <c r="AJ64" s="2258"/>
      <c r="AK64" s="1248"/>
      <c r="AL64" s="1248"/>
      <c r="AM64" s="1248"/>
      <c r="AN64" s="1248"/>
      <c r="AO64" s="2267">
        <v>11</v>
      </c>
    </row>
    <row s="35197" customFormat="1" customHeight="1" ht="11.549999999999999">
      <c r="A65" s="1613"/>
      <c r="B65" s="1613"/>
      <c r="C65" s="1613"/>
      <c r="D65" s="1613"/>
      <c r="E65" s="1613"/>
      <c r="F65" s="2262"/>
      <c r="G65" s="2262"/>
      <c r="H65" s="977"/>
      <c r="N65" s="4642"/>
      <c r="O65" s="4642"/>
      <c r="P65" s="4642"/>
      <c r="Q65" s="4642"/>
      <c r="R65" s="1992"/>
      <c r="T65" s="1992"/>
      <c r="U65" s="2262"/>
      <c r="V65" s="2262"/>
      <c r="W65" s="1992"/>
      <c r="X65" s="1992"/>
      <c r="Y65" s="1992"/>
      <c r="Z65" s="1992"/>
      <c r="AA65" s="2262"/>
      <c r="AB65" s="1992"/>
      <c r="AC65" s="1992"/>
      <c r="AD65" s="1170"/>
      <c r="AE65" s="1992"/>
      <c r="AF65" s="1992"/>
      <c r="AG65" s="1992"/>
      <c r="AH65" s="1992"/>
      <c r="AI65" s="1992"/>
      <c r="AJ65" s="2258"/>
      <c r="AK65" s="1248"/>
      <c r="AL65" s="1248"/>
      <c r="AM65" s="1248"/>
      <c r="AN65" s="1248"/>
      <c r="AO65" s="2267">
        <v>11</v>
      </c>
    </row>
    <row s="35197" customFormat="1" customHeight="1" ht="11.549999999999999">
      <c r="A66" s="1613"/>
      <c r="B66" s="1613"/>
      <c r="C66" s="1613"/>
      <c r="D66" s="1613"/>
      <c r="E66" s="1613"/>
      <c r="F66" s="2262"/>
      <c r="G66" s="2262"/>
      <c r="H66" s="977"/>
      <c r="N66" s="4642"/>
      <c r="O66" s="4642"/>
      <c r="P66" s="4642"/>
      <c r="Q66" s="4642"/>
      <c r="R66" s="1992"/>
      <c r="T66" s="1992"/>
      <c r="U66" s="2262"/>
      <c r="V66" s="2262"/>
      <c r="W66" s="1992"/>
      <c r="X66" s="1992"/>
      <c r="Y66" s="1992"/>
      <c r="Z66" s="1992"/>
      <c r="AA66" s="2262"/>
      <c r="AB66" s="1992"/>
      <c r="AC66" s="1992"/>
      <c r="AD66" s="1170"/>
      <c r="AE66" s="1992"/>
      <c r="AF66" s="1992"/>
      <c r="AG66" s="1992"/>
      <c r="AH66" s="1992"/>
      <c r="AI66" s="1992"/>
      <c r="AJ66" s="2258"/>
      <c r="AK66" s="1248"/>
      <c r="AL66" s="1248"/>
      <c r="AM66" s="1248"/>
      <c r="AN66" s="1248"/>
      <c r="AO66" s="2267">
        <v>11</v>
      </c>
    </row>
    <row s="35197" customFormat="1" customHeight="1" ht="11.549999999999999">
      <c r="A67" s="1613"/>
      <c r="B67" s="1613"/>
      <c r="C67" s="1613"/>
      <c r="D67" s="1613"/>
      <c r="E67" s="1613"/>
      <c r="F67" s="2262"/>
      <c r="G67" s="2262"/>
      <c r="H67" s="977"/>
      <c r="N67" s="4642"/>
      <c r="O67" s="4642"/>
      <c r="P67" s="4642"/>
      <c r="Q67" s="4642"/>
      <c r="R67" s="1992"/>
      <c r="T67" s="1992"/>
      <c r="U67" s="2262"/>
      <c r="V67" s="2262"/>
      <c r="W67" s="1992"/>
      <c r="X67" s="1992"/>
      <c r="Y67" s="1992"/>
      <c r="Z67" s="1992"/>
      <c r="AA67" s="2262"/>
      <c r="AB67" s="1992"/>
      <c r="AC67" s="1992"/>
      <c r="AD67" s="1170"/>
      <c r="AE67" s="1992"/>
      <c r="AF67" s="1992"/>
      <c r="AG67" s="1992"/>
      <c r="AH67" s="1992"/>
      <c r="AI67" s="1992"/>
      <c r="AJ67" s="2258"/>
      <c r="AK67" s="1248"/>
      <c r="AL67" s="1248"/>
      <c r="AM67" s="1248"/>
      <c r="AN67" s="1248"/>
      <c r="AO67" s="2267">
        <v>11</v>
      </c>
    </row>
    <row s="35197" customFormat="1" customHeight="1" ht="11.549999999999999">
      <c r="A68" s="1613"/>
      <c r="B68" s="1613"/>
      <c r="C68" s="1613"/>
      <c r="D68" s="1613"/>
      <c r="E68" s="1613"/>
      <c r="F68" s="2262"/>
      <c r="G68" s="2262"/>
      <c r="H68" s="977"/>
      <c r="N68" s="4642"/>
      <c r="O68" s="4642"/>
      <c r="P68" s="4642"/>
      <c r="Q68" s="4642"/>
      <c r="R68" s="1992"/>
      <c r="T68" s="1992"/>
      <c r="U68" s="2262"/>
      <c r="V68" s="2262"/>
      <c r="W68" s="1992"/>
      <c r="X68" s="1992"/>
      <c r="Y68" s="1992"/>
      <c r="Z68" s="1992"/>
      <c r="AA68" s="2262"/>
      <c r="AB68" s="1992"/>
      <c r="AC68" s="1992"/>
      <c r="AD68" s="1170"/>
      <c r="AE68" s="1992"/>
      <c r="AF68" s="1992"/>
      <c r="AG68" s="1992"/>
      <c r="AH68" s="1992"/>
      <c r="AI68" s="1992"/>
      <c r="AJ68" s="2258"/>
      <c r="AK68" s="1248"/>
      <c r="AL68" s="1248"/>
      <c r="AM68" s="1248"/>
      <c r="AN68" s="1248"/>
      <c r="AO68" s="2267">
        <v>11</v>
      </c>
    </row>
    <row s="35197" customFormat="1" customHeight="1" ht="11.549999999999999">
      <c r="A69" s="1613"/>
      <c r="B69" s="1613"/>
      <c r="C69" s="1613"/>
      <c r="D69" s="1613"/>
      <c r="E69" s="1613"/>
      <c r="F69" s="2262"/>
      <c r="G69" s="2262"/>
      <c r="H69" s="977"/>
      <c r="N69" s="4642"/>
      <c r="O69" s="4642"/>
      <c r="P69" s="4642"/>
      <c r="Q69" s="4642"/>
      <c r="R69" s="1992"/>
      <c r="T69" s="1992"/>
      <c r="U69" s="2262"/>
      <c r="V69" s="2262"/>
      <c r="W69" s="1992"/>
      <c r="X69" s="1992"/>
      <c r="Y69" s="1992"/>
      <c r="Z69" s="1992"/>
      <c r="AA69" s="2262"/>
      <c r="AB69" s="1992"/>
      <c r="AC69" s="1992"/>
      <c r="AD69" s="1170"/>
      <c r="AE69" s="1992"/>
      <c r="AF69" s="1992"/>
      <c r="AG69" s="1992"/>
      <c r="AH69" s="1992"/>
      <c r="AI69" s="1992"/>
      <c r="AJ69" s="2258"/>
      <c r="AK69" s="1248"/>
      <c r="AL69" s="1248"/>
      <c r="AM69" s="1248"/>
      <c r="AN69" s="1248"/>
      <c r="AO69" s="2267">
        <v>11</v>
      </c>
    </row>
    <row s="35197" customFormat="1" customHeight="1" ht="11.549999999999999">
      <c r="A70" s="1613"/>
      <c r="B70" s="1613"/>
      <c r="C70" s="1613"/>
      <c r="D70" s="1613"/>
      <c r="E70" s="1613"/>
      <c r="F70" s="2262"/>
      <c r="G70" s="2262"/>
      <c r="H70" s="977"/>
      <c r="N70" s="4642"/>
      <c r="O70" s="4642"/>
      <c r="P70" s="4642"/>
      <c r="Q70" s="4642"/>
      <c r="R70" s="1992"/>
      <c r="T70" s="1992"/>
      <c r="U70" s="2262"/>
      <c r="V70" s="2262"/>
      <c r="W70" s="1992"/>
      <c r="X70" s="1992"/>
      <c r="Y70" s="1992"/>
      <c r="Z70" s="1992"/>
      <c r="AA70" s="2262"/>
      <c r="AB70" s="1992"/>
      <c r="AC70" s="1992"/>
      <c r="AD70" s="1170"/>
      <c r="AE70" s="1992"/>
      <c r="AF70" s="1992"/>
      <c r="AG70" s="1992"/>
      <c r="AH70" s="1992"/>
      <c r="AI70" s="1992"/>
      <c r="AJ70" s="2258"/>
      <c r="AK70" s="1248"/>
      <c r="AL70" s="1248"/>
      <c r="AM70" s="1248"/>
      <c r="AN70" s="1248"/>
      <c r="AO70" s="2267">
        <v>11</v>
      </c>
    </row>
    <row s="35197" customFormat="1" customHeight="1" ht="11.549999999999999">
      <c r="A71" s="1613"/>
      <c r="B71" s="1613"/>
      <c r="C71" s="1613"/>
      <c r="D71" s="1613"/>
      <c r="E71" s="1613"/>
      <c r="F71" s="2262"/>
      <c r="G71" s="2262"/>
      <c r="H71" s="977"/>
      <c r="N71" s="4642"/>
      <c r="O71" s="4642"/>
      <c r="P71" s="4642"/>
      <c r="Q71" s="4642"/>
      <c r="R71" s="1992"/>
      <c r="T71" s="1992"/>
      <c r="U71" s="2262"/>
      <c r="V71" s="2262"/>
      <c r="W71" s="1992"/>
      <c r="X71" s="1992"/>
      <c r="Y71" s="1992"/>
      <c r="Z71" s="1992"/>
      <c r="AA71" s="2262"/>
      <c r="AB71" s="1992"/>
      <c r="AC71" s="1992"/>
      <c r="AD71" s="1170"/>
      <c r="AE71" s="1992"/>
      <c r="AF71" s="1992"/>
      <c r="AG71" s="1992"/>
      <c r="AH71" s="1992"/>
      <c r="AI71" s="1992"/>
      <c r="AJ71" s="2258"/>
      <c r="AK71" s="1248"/>
      <c r="AL71" s="1248"/>
      <c r="AM71" s="1248"/>
      <c r="AN71" s="1248"/>
      <c r="AO71" s="2267">
        <v>11</v>
      </c>
    </row>
    <row s="35197" customFormat="1" customHeight="1" ht="11.549999999999999">
      <c r="A72" s="1613"/>
      <c r="B72" s="1613"/>
      <c r="C72" s="1613"/>
      <c r="D72" s="1613"/>
      <c r="E72" s="1613"/>
      <c r="F72" s="2262"/>
      <c r="G72" s="2262"/>
      <c r="H72" s="977"/>
      <c r="N72" s="4642"/>
      <c r="O72" s="4642"/>
      <c r="P72" s="4642"/>
      <c r="Q72" s="4642"/>
      <c r="R72" s="1992"/>
      <c r="T72" s="1992"/>
      <c r="U72" s="2262"/>
      <c r="V72" s="2262"/>
      <c r="W72" s="1992"/>
      <c r="X72" s="1992"/>
      <c r="Y72" s="1992"/>
      <c r="Z72" s="1992"/>
      <c r="AA72" s="2262"/>
      <c r="AB72" s="1992"/>
      <c r="AC72" s="1992"/>
      <c r="AD72" s="1170"/>
      <c r="AE72" s="1992"/>
      <c r="AF72" s="1992"/>
      <c r="AG72" s="1992"/>
      <c r="AH72" s="1992"/>
      <c r="AI72" s="1992"/>
      <c r="AJ72" s="2258"/>
      <c r="AK72" s="1248"/>
      <c r="AL72" s="1248"/>
      <c r="AM72" s="1248"/>
      <c r="AN72" s="1248"/>
      <c r="AO72" s="2267">
        <v>11</v>
      </c>
    </row>
    <row s="35197" customFormat="1" customHeight="1" ht="11.549999999999999">
      <c r="A73" s="1613"/>
      <c r="B73" s="1613"/>
      <c r="C73" s="1613"/>
      <c r="D73" s="1613"/>
      <c r="E73" s="1613"/>
      <c r="F73" s="2262"/>
      <c r="G73" s="2262"/>
      <c r="H73" s="977"/>
      <c r="N73" s="4642"/>
      <c r="O73" s="4642"/>
      <c r="P73" s="4642"/>
      <c r="Q73" s="4642"/>
      <c r="R73" s="1992"/>
      <c r="T73" s="1992"/>
      <c r="U73" s="2262"/>
      <c r="V73" s="2262"/>
      <c r="W73" s="1992"/>
      <c r="X73" s="1992"/>
      <c r="Y73" s="1992"/>
      <c r="Z73" s="1992"/>
      <c r="AA73" s="2262"/>
      <c r="AB73" s="1992"/>
      <c r="AC73" s="1992"/>
      <c r="AD73" s="1170"/>
      <c r="AE73" s="1992"/>
      <c r="AF73" s="1992"/>
      <c r="AG73" s="1992"/>
      <c r="AH73" s="1992"/>
      <c r="AI73" s="1992"/>
      <c r="AJ73" s="2258"/>
      <c r="AK73" s="1248"/>
      <c r="AL73" s="1248"/>
      <c r="AM73" s="1248"/>
      <c r="AN73" s="1248"/>
      <c r="AO73" s="2267">
        <v>11</v>
      </c>
    </row>
    <row s="35197" customFormat="1" customHeight="1" ht="11.549999999999999">
      <c r="A74" s="1613"/>
      <c r="B74" s="1613"/>
      <c r="C74" s="1613"/>
      <c r="D74" s="1613"/>
      <c r="E74" s="1613"/>
      <c r="F74" s="2262"/>
      <c r="G74" s="2262"/>
      <c r="H74" s="977"/>
      <c r="N74" s="4642"/>
      <c r="O74" s="4642"/>
      <c r="P74" s="4642"/>
      <c r="Q74" s="4642"/>
      <c r="R74" s="1992"/>
      <c r="T74" s="1992"/>
      <c r="U74" s="2262"/>
      <c r="V74" s="2262"/>
      <c r="W74" s="1992"/>
      <c r="X74" s="1992"/>
      <c r="Y74" s="1992"/>
      <c r="Z74" s="1992"/>
      <c r="AA74" s="2262"/>
      <c r="AB74" s="1992"/>
      <c r="AC74" s="1992"/>
      <c r="AD74" s="1170"/>
      <c r="AE74" s="1992"/>
      <c r="AF74" s="1992"/>
      <c r="AG74" s="1992"/>
      <c r="AH74" s="1992"/>
      <c r="AI74" s="1992"/>
      <c r="AJ74" s="2258"/>
      <c r="AK74" s="1248"/>
      <c r="AL74" s="1248"/>
      <c r="AM74" s="1248"/>
      <c r="AN74" s="1248"/>
      <c r="AO74" s="2267">
        <v>11</v>
      </c>
    </row>
    <row s="35197" customFormat="1" customHeight="1" ht="11.549999999999999">
      <c r="A75" s="1613"/>
      <c r="B75" s="1613"/>
      <c r="C75" s="1613"/>
      <c r="D75" s="1613"/>
      <c r="E75" s="1613"/>
      <c r="F75" s="2262"/>
      <c r="G75" s="2262"/>
      <c r="H75" s="977"/>
      <c r="N75" s="4642"/>
      <c r="O75" s="4642"/>
      <c r="P75" s="4642"/>
      <c r="Q75" s="4642"/>
      <c r="R75" s="1992"/>
      <c r="T75" s="1992"/>
      <c r="U75" s="2262"/>
      <c r="V75" s="2262"/>
      <c r="W75" s="1992"/>
      <c r="X75" s="1992"/>
      <c r="Y75" s="1992"/>
      <c r="Z75" s="1992"/>
      <c r="AA75" s="2262"/>
      <c r="AB75" s="1992"/>
      <c r="AC75" s="1992"/>
      <c r="AD75" s="1170"/>
      <c r="AE75" s="1992"/>
      <c r="AF75" s="1992"/>
      <c r="AG75" s="1992"/>
      <c r="AH75" s="1992"/>
      <c r="AI75" s="1992"/>
      <c r="AJ75" s="2258"/>
      <c r="AK75" s="1248"/>
      <c r="AL75" s="1248"/>
      <c r="AM75" s="1248"/>
      <c r="AN75" s="1248"/>
      <c r="AO75" s="2267">
        <v>11</v>
      </c>
    </row>
    <row s="35197" customFormat="1" customHeight="1" ht="11.549999999999999">
      <c r="A76" s="1613"/>
      <c r="B76" s="1613"/>
      <c r="C76" s="1613"/>
      <c r="D76" s="1613"/>
      <c r="E76" s="1613"/>
      <c r="F76" s="2262"/>
      <c r="G76" s="2262"/>
      <c r="H76" s="977"/>
      <c r="N76" s="4642"/>
      <c r="O76" s="4642"/>
      <c r="P76" s="4642"/>
      <c r="Q76" s="4642"/>
      <c r="R76" s="1992"/>
      <c r="T76" s="1992"/>
      <c r="U76" s="2262"/>
      <c r="V76" s="2262"/>
      <c r="W76" s="1992"/>
      <c r="X76" s="1992"/>
      <c r="Y76" s="1992"/>
      <c r="Z76" s="1992"/>
      <c r="AA76" s="2262"/>
      <c r="AB76" s="1992"/>
      <c r="AC76" s="1992"/>
      <c r="AD76" s="1170"/>
      <c r="AE76" s="1992"/>
      <c r="AF76" s="1992"/>
      <c r="AG76" s="1992"/>
      <c r="AH76" s="1992"/>
      <c r="AI76" s="1992"/>
      <c r="AJ76" s="2258"/>
      <c r="AK76" s="1248"/>
      <c r="AL76" s="1248"/>
      <c r="AM76" s="1248"/>
      <c r="AN76" s="1248"/>
      <c r="AO76" s="2267">
        <v>11</v>
      </c>
    </row>
    <row s="35197" customFormat="1" customHeight="1" ht="11.549999999999999">
      <c r="A77" s="1613"/>
      <c r="B77" s="1613"/>
      <c r="C77" s="1613"/>
      <c r="D77" s="1613"/>
      <c r="E77" s="1613"/>
      <c r="F77" s="2262"/>
      <c r="G77" s="2262"/>
      <c r="H77" s="977"/>
      <c r="N77" s="4642"/>
      <c r="O77" s="4642"/>
      <c r="P77" s="4642"/>
      <c r="Q77" s="4642"/>
      <c r="R77" s="1992"/>
      <c r="T77" s="1992"/>
      <c r="U77" s="2262"/>
      <c r="V77" s="2262"/>
      <c r="W77" s="1992"/>
      <c r="X77" s="1992"/>
      <c r="Y77" s="1992"/>
      <c r="Z77" s="1992"/>
      <c r="AA77" s="2262"/>
      <c r="AB77" s="1992"/>
      <c r="AC77" s="1992"/>
      <c r="AD77" s="1170"/>
      <c r="AE77" s="1992"/>
      <c r="AF77" s="1992"/>
      <c r="AG77" s="1992"/>
      <c r="AH77" s="1992"/>
      <c r="AI77" s="1992"/>
      <c r="AJ77" s="2258"/>
      <c r="AK77" s="1248"/>
      <c r="AL77" s="1248"/>
      <c r="AM77" s="1248"/>
      <c r="AN77" s="1248"/>
      <c r="AO77" s="2267">
        <v>11</v>
      </c>
    </row>
    <row s="35197" customFormat="1" customHeight="1" ht="11.549999999999999">
      <c r="A78" s="1613"/>
      <c r="B78" s="1613"/>
      <c r="C78" s="1613"/>
      <c r="D78" s="1613"/>
      <c r="E78" s="1613"/>
      <c r="F78" s="2262"/>
      <c r="G78" s="2262"/>
      <c r="H78" s="977"/>
      <c r="N78" s="4642"/>
      <c r="O78" s="4642"/>
      <c r="P78" s="4642"/>
      <c r="Q78" s="4642"/>
      <c r="R78" s="1992"/>
      <c r="T78" s="1992"/>
      <c r="U78" s="2262"/>
      <c r="V78" s="2262"/>
      <c r="W78" s="1992"/>
      <c r="X78" s="1992"/>
      <c r="Y78" s="1992"/>
      <c r="Z78" s="1992"/>
      <c r="AA78" s="2262"/>
      <c r="AB78" s="1992"/>
      <c r="AC78" s="1992"/>
      <c r="AD78" s="1170"/>
      <c r="AE78" s="1992"/>
      <c r="AF78" s="1992"/>
      <c r="AG78" s="1992"/>
      <c r="AH78" s="1992"/>
      <c r="AI78" s="1992"/>
      <c r="AJ78" s="2258"/>
      <c r="AK78" s="1248"/>
      <c r="AL78" s="1248"/>
      <c r="AM78" s="1248"/>
      <c r="AN78" s="1248"/>
      <c r="AO78" s="2267">
        <v>11</v>
      </c>
    </row>
    <row s="35197" customFormat="1" customHeight="1" ht="11.549999999999999">
      <c r="A79" s="1613"/>
      <c r="B79" s="1613"/>
      <c r="C79" s="1613"/>
      <c r="D79" s="1613"/>
      <c r="E79" s="1613"/>
      <c r="F79" s="2262"/>
      <c r="G79" s="2262"/>
      <c r="H79" s="977"/>
      <c r="N79" s="4642"/>
      <c r="O79" s="4642"/>
      <c r="P79" s="4642"/>
      <c r="Q79" s="4642"/>
      <c r="R79" s="1992"/>
      <c r="T79" s="1992"/>
      <c r="U79" s="2262"/>
      <c r="V79" s="2262"/>
      <c r="W79" s="1992"/>
      <c r="X79" s="1992"/>
      <c r="Y79" s="1992"/>
      <c r="Z79" s="1992"/>
      <c r="AA79" s="2262"/>
      <c r="AB79" s="1992"/>
      <c r="AC79" s="1992"/>
      <c r="AD79" s="1170"/>
      <c r="AE79" s="1992"/>
      <c r="AF79" s="1992"/>
      <c r="AG79" s="1992"/>
      <c r="AH79" s="1992"/>
      <c r="AI79" s="1992"/>
      <c r="AJ79" s="2258"/>
      <c r="AK79" s="1248"/>
      <c r="AL79" s="1248"/>
      <c r="AM79" s="1248"/>
      <c r="AN79" s="1248"/>
      <c r="AO79" s="2267">
        <v>11</v>
      </c>
    </row>
    <row s="35197" customFormat="1" customHeight="1" ht="11.549999999999999">
      <c r="A80" s="1613"/>
      <c r="B80" s="1613"/>
      <c r="C80" s="1613"/>
      <c r="D80" s="1613"/>
      <c r="E80" s="1613"/>
      <c r="F80" s="2262"/>
      <c r="G80" s="2262"/>
      <c r="H80" s="977"/>
      <c r="N80" s="4642"/>
      <c r="O80" s="4642"/>
      <c r="P80" s="4642"/>
      <c r="Q80" s="4642"/>
      <c r="R80" s="1992"/>
      <c r="T80" s="1992"/>
      <c r="U80" s="2262"/>
      <c r="V80" s="2262"/>
      <c r="W80" s="1992"/>
      <c r="X80" s="1992"/>
      <c r="Y80" s="1992"/>
      <c r="Z80" s="1992"/>
      <c r="AA80" s="2262"/>
      <c r="AB80" s="1992"/>
      <c r="AC80" s="1992"/>
      <c r="AD80" s="1170"/>
      <c r="AE80" s="1992"/>
      <c r="AF80" s="1992"/>
      <c r="AG80" s="1992"/>
      <c r="AH80" s="1992"/>
      <c r="AI80" s="1992"/>
      <c r="AJ80" s="2258"/>
      <c r="AK80" s="1248"/>
      <c r="AL80" s="1248"/>
      <c r="AM80" s="1248"/>
      <c r="AN80" s="1248"/>
      <c r="AO80" s="2267">
        <v>11</v>
      </c>
    </row>
    <row s="35197" customFormat="1" customHeight="1" ht="11.549999999999999">
      <c r="A81" s="1613"/>
      <c r="B81" s="1613"/>
      <c r="C81" s="1613"/>
      <c r="D81" s="1613"/>
      <c r="E81" s="1613"/>
      <c r="F81" s="2262"/>
      <c r="G81" s="2262"/>
      <c r="H81" s="977"/>
      <c r="N81" s="4642"/>
      <c r="O81" s="4642"/>
      <c r="P81" s="4642"/>
      <c r="Q81" s="4642"/>
      <c r="R81" s="1992"/>
      <c r="T81" s="1992"/>
      <c r="U81" s="2262"/>
      <c r="V81" s="2262"/>
      <c r="W81" s="1992"/>
      <c r="X81" s="1992"/>
      <c r="Y81" s="1992"/>
      <c r="Z81" s="1992"/>
      <c r="AA81" s="2262"/>
      <c r="AB81" s="1992"/>
      <c r="AC81" s="1992"/>
      <c r="AD81" s="1170"/>
      <c r="AE81" s="1992"/>
      <c r="AF81" s="1992"/>
      <c r="AG81" s="1992"/>
      <c r="AH81" s="1992"/>
      <c r="AI81" s="1992"/>
      <c r="AJ81" s="2258"/>
      <c r="AK81" s="1248"/>
      <c r="AL81" s="1248"/>
      <c r="AM81" s="1248"/>
      <c r="AN81" s="1248"/>
      <c r="AO81" s="2267">
        <v>11</v>
      </c>
    </row>
    <row s="35197" customFormat="1" customHeight="1" ht="11.549999999999999">
      <c r="A82" s="1613"/>
      <c r="B82" s="1613"/>
      <c r="C82" s="1613"/>
      <c r="D82" s="1613"/>
      <c r="E82" s="1613"/>
      <c r="F82" s="2262"/>
      <c r="G82" s="2262"/>
      <c r="H82" s="977"/>
      <c r="N82" s="4642"/>
      <c r="O82" s="4642"/>
      <c r="P82" s="4642"/>
      <c r="Q82" s="4642"/>
      <c r="R82" s="1992"/>
      <c r="T82" s="1992"/>
      <c r="U82" s="2262"/>
      <c r="V82" s="2262"/>
      <c r="W82" s="1992"/>
      <c r="X82" s="1992"/>
      <c r="Y82" s="1992"/>
      <c r="Z82" s="1992"/>
      <c r="AA82" s="2262"/>
      <c r="AB82" s="1992"/>
      <c r="AC82" s="1992"/>
      <c r="AD82" s="1170"/>
      <c r="AE82" s="1992"/>
      <c r="AF82" s="1992"/>
      <c r="AG82" s="1992"/>
      <c r="AH82" s="1992"/>
      <c r="AI82" s="1992"/>
      <c r="AJ82" s="2258"/>
      <c r="AK82" s="1248"/>
      <c r="AL82" s="1248"/>
      <c r="AM82" s="1248"/>
      <c r="AN82" s="1248"/>
      <c r="AO82" s="2267">
        <v>11</v>
      </c>
    </row>
    <row s="35197" customFormat="1" customHeight="1" ht="11.549999999999999">
      <c r="A83" s="1613"/>
      <c r="B83" s="1613"/>
      <c r="C83" s="1613"/>
      <c r="D83" s="1613"/>
      <c r="E83" s="1613"/>
      <c r="F83" s="2262"/>
      <c r="G83" s="2262"/>
      <c r="H83" s="977"/>
      <c r="N83" s="4642"/>
      <c r="O83" s="4642"/>
      <c r="P83" s="4642"/>
      <c r="Q83" s="4642"/>
      <c r="R83" s="1992"/>
      <c r="T83" s="1992"/>
      <c r="U83" s="2262"/>
      <c r="V83" s="2262"/>
      <c r="W83" s="1992"/>
      <c r="X83" s="1992"/>
      <c r="Y83" s="1992"/>
      <c r="Z83" s="1992"/>
      <c r="AA83" s="2262"/>
      <c r="AB83" s="1992"/>
      <c r="AC83" s="1992"/>
      <c r="AD83" s="1170"/>
      <c r="AE83" s="1992"/>
      <c r="AF83" s="1992"/>
      <c r="AG83" s="1992"/>
      <c r="AH83" s="1992"/>
      <c r="AI83" s="1992"/>
      <c r="AJ83" s="2258"/>
      <c r="AK83" s="1248"/>
      <c r="AL83" s="1248"/>
      <c r="AM83" s="1248"/>
      <c r="AN83" s="1248"/>
      <c r="AO83" s="2267">
        <v>11</v>
      </c>
    </row>
    <row s="35197" customFormat="1" customHeight="1" ht="11.549999999999999">
      <c r="A84" s="1613"/>
      <c r="B84" s="1613"/>
      <c r="C84" s="1613"/>
      <c r="D84" s="1613"/>
      <c r="E84" s="1613"/>
      <c r="F84" s="2262"/>
      <c r="G84" s="2262"/>
      <c r="H84" s="977"/>
      <c r="N84" s="4642"/>
      <c r="O84" s="4642"/>
      <c r="P84" s="4642"/>
      <c r="Q84" s="4642"/>
      <c r="R84" s="1992"/>
      <c r="T84" s="1992"/>
      <c r="U84" s="2262"/>
      <c r="V84" s="2262"/>
      <c r="W84" s="1992"/>
      <c r="X84" s="1992"/>
      <c r="Y84" s="1992"/>
      <c r="Z84" s="1992"/>
      <c r="AA84" s="2262"/>
      <c r="AB84" s="1992"/>
      <c r="AC84" s="1992"/>
      <c r="AD84" s="1170"/>
      <c r="AE84" s="1992"/>
      <c r="AF84" s="1992"/>
      <c r="AG84" s="1992"/>
      <c r="AH84" s="1992"/>
      <c r="AI84" s="1992"/>
      <c r="AJ84" s="2258"/>
      <c r="AK84" s="1248"/>
      <c r="AL84" s="1248"/>
      <c r="AM84" s="1248"/>
      <c r="AN84" s="1248"/>
      <c r="AO84" s="2267">
        <v>11</v>
      </c>
    </row>
    <row s="35197" customFormat="1" customHeight="1" ht="11.549999999999999">
      <c r="A85" s="1613"/>
      <c r="B85" s="1613"/>
      <c r="C85" s="1613"/>
      <c r="D85" s="1613"/>
      <c r="E85" s="1613"/>
      <c r="F85" s="2262"/>
      <c r="G85" s="2262"/>
      <c r="H85" s="977"/>
      <c r="N85" s="4642"/>
      <c r="O85" s="4642"/>
      <c r="P85" s="4642"/>
      <c r="Q85" s="4642"/>
      <c r="R85" s="1992"/>
      <c r="T85" s="1992"/>
      <c r="U85" s="2262"/>
      <c r="V85" s="2262"/>
      <c r="W85" s="1992"/>
      <c r="X85" s="1992"/>
      <c r="Y85" s="1992"/>
      <c r="Z85" s="1992"/>
      <c r="AA85" s="2262"/>
      <c r="AB85" s="1992"/>
      <c r="AC85" s="1992"/>
      <c r="AD85" s="1170"/>
      <c r="AE85" s="1992"/>
      <c r="AF85" s="1992"/>
      <c r="AG85" s="1992"/>
      <c r="AH85" s="1992"/>
      <c r="AI85" s="1992"/>
      <c r="AJ85" s="2258"/>
      <c r="AK85" s="1248"/>
      <c r="AL85" s="1248"/>
      <c r="AM85" s="1248"/>
      <c r="AN85" s="1248"/>
      <c r="AO85" s="2267">
        <v>11</v>
      </c>
    </row>
    <row s="35197" customFormat="1" customHeight="1" ht="11.549999999999999">
      <c r="A86" s="1613"/>
      <c r="B86" s="1613"/>
      <c r="C86" s="1613"/>
      <c r="D86" s="1613"/>
      <c r="E86" s="1613"/>
      <c r="F86" s="2262"/>
      <c r="G86" s="2262"/>
      <c r="H86" s="977"/>
      <c r="N86" s="4642"/>
      <c r="O86" s="4642"/>
      <c r="P86" s="4642"/>
      <c r="Q86" s="4642"/>
      <c r="R86" s="1992"/>
      <c r="T86" s="1992"/>
      <c r="U86" s="2262"/>
      <c r="V86" s="2262"/>
      <c r="W86" s="1992"/>
      <c r="X86" s="1992"/>
      <c r="Y86" s="1992"/>
      <c r="Z86" s="1992"/>
      <c r="AA86" s="2262"/>
      <c r="AB86" s="1992"/>
      <c r="AC86" s="1992"/>
      <c r="AD86" s="1170"/>
      <c r="AE86" s="1992"/>
      <c r="AF86" s="1992"/>
      <c r="AG86" s="1992"/>
      <c r="AH86" s="1992"/>
      <c r="AI86" s="1992"/>
      <c r="AJ86" s="2258"/>
      <c r="AK86" s="1248"/>
      <c r="AL86" s="1248"/>
      <c r="AM86" s="1248"/>
      <c r="AN86" s="1248"/>
      <c r="AO86" s="2267">
        <v>11</v>
      </c>
    </row>
    <row s="35197" customFormat="1" customHeight="1" ht="11.549999999999999">
      <c r="A87" s="1613"/>
      <c r="B87" s="1613"/>
      <c r="C87" s="1613"/>
      <c r="D87" s="1613"/>
      <c r="E87" s="1613"/>
      <c r="F87" s="2262"/>
      <c r="G87" s="2262"/>
      <c r="H87" s="977"/>
      <c r="N87" s="4642"/>
      <c r="O87" s="4642"/>
      <c r="P87" s="4642"/>
      <c r="Q87" s="4642"/>
      <c r="R87" s="1992"/>
      <c r="T87" s="1992"/>
      <c r="U87" s="2262"/>
      <c r="V87" s="2262"/>
      <c r="W87" s="1992"/>
      <c r="X87" s="1992"/>
      <c r="Y87" s="1992"/>
      <c r="Z87" s="1992"/>
      <c r="AA87" s="2262"/>
      <c r="AB87" s="1992"/>
      <c r="AC87" s="1992"/>
      <c r="AD87" s="1170"/>
      <c r="AE87" s="1992"/>
      <c r="AF87" s="1992"/>
      <c r="AG87" s="1992"/>
      <c r="AH87" s="1992"/>
      <c r="AI87" s="1992"/>
      <c r="AJ87" s="2258"/>
      <c r="AK87" s="1248"/>
      <c r="AL87" s="1248"/>
      <c r="AM87" s="1248"/>
      <c r="AN87" s="1248"/>
      <c r="AO87" s="2267">
        <v>11</v>
      </c>
    </row>
    <row s="35197" customFormat="1" customHeight="1" ht="11.549999999999999">
      <c r="A88" s="1613"/>
      <c r="B88" s="1613"/>
      <c r="C88" s="1613"/>
      <c r="D88" s="1613"/>
      <c r="E88" s="1613"/>
      <c r="F88" s="2262"/>
      <c r="G88" s="2262"/>
      <c r="H88" s="977"/>
      <c r="N88" s="4642"/>
      <c r="O88" s="4642"/>
      <c r="P88" s="4642"/>
      <c r="Q88" s="4642"/>
      <c r="R88" s="1992"/>
      <c r="T88" s="1992"/>
      <c r="U88" s="2262"/>
      <c r="V88" s="2262"/>
      <c r="W88" s="1992"/>
      <c r="X88" s="1992"/>
      <c r="Y88" s="1992"/>
      <c r="Z88" s="1992"/>
      <c r="AA88" s="2262"/>
      <c r="AB88" s="1992"/>
      <c r="AC88" s="1992"/>
      <c r="AD88" s="1170"/>
      <c r="AE88" s="1992"/>
      <c r="AF88" s="1992"/>
      <c r="AG88" s="1992"/>
      <c r="AH88" s="1992"/>
      <c r="AI88" s="1992"/>
      <c r="AJ88" s="2258"/>
      <c r="AK88" s="1248"/>
      <c r="AL88" s="1248"/>
      <c r="AM88" s="1248"/>
      <c r="AN88" s="1248"/>
      <c r="AO88" s="2267">
        <v>11</v>
      </c>
    </row>
    <row s="35197" customFormat="1" customHeight="1" ht="11.549999999999999">
      <c r="A89" s="1613"/>
      <c r="B89" s="1613"/>
      <c r="C89" s="1613"/>
      <c r="D89" s="1613"/>
      <c r="E89" s="1613"/>
      <c r="F89" s="2262"/>
      <c r="G89" s="2262"/>
      <c r="H89" s="977"/>
      <c r="N89" s="4642"/>
      <c r="O89" s="4642"/>
      <c r="P89" s="4642"/>
      <c r="Q89" s="4642"/>
      <c r="R89" s="1992"/>
      <c r="T89" s="1992"/>
      <c r="U89" s="2262"/>
      <c r="V89" s="2262"/>
      <c r="W89" s="1992"/>
      <c r="X89" s="1992"/>
      <c r="Y89" s="1992"/>
      <c r="Z89" s="1992"/>
      <c r="AA89" s="2262"/>
      <c r="AB89" s="1992"/>
      <c r="AC89" s="1992"/>
      <c r="AD89" s="1170"/>
      <c r="AE89" s="1992"/>
      <c r="AF89" s="1992"/>
      <c r="AG89" s="1992"/>
      <c r="AH89" s="1992"/>
      <c r="AI89" s="1992"/>
      <c r="AJ89" s="2258"/>
      <c r="AK89" s="1248"/>
      <c r="AL89" s="1248"/>
      <c r="AM89" s="1248"/>
      <c r="AN89" s="1248"/>
      <c r="AO89" s="2267">
        <v>11</v>
      </c>
    </row>
    <row s="35197" customFormat="1" customHeight="1" ht="11.549999999999999">
      <c r="A90" s="1613"/>
      <c r="B90" s="1613"/>
      <c r="C90" s="1613"/>
      <c r="D90" s="1613"/>
      <c r="E90" s="1613"/>
      <c r="F90" s="2262"/>
      <c r="G90" s="2262"/>
      <c r="H90" s="977"/>
      <c r="N90" s="4642"/>
      <c r="O90" s="4642"/>
      <c r="P90" s="4642"/>
      <c r="Q90" s="4642"/>
      <c r="R90" s="1992"/>
      <c r="T90" s="1992"/>
      <c r="U90" s="2262"/>
      <c r="V90" s="2262"/>
      <c r="W90" s="1992"/>
      <c r="X90" s="1992"/>
      <c r="Y90" s="1992"/>
      <c r="Z90" s="1992"/>
      <c r="AA90" s="2262"/>
      <c r="AB90" s="1992"/>
      <c r="AC90" s="1992"/>
      <c r="AD90" s="1170"/>
      <c r="AE90" s="1992"/>
      <c r="AF90" s="1992"/>
      <c r="AG90" s="1992"/>
      <c r="AH90" s="1992"/>
      <c r="AI90" s="1992"/>
      <c r="AJ90" s="2258"/>
      <c r="AK90" s="1248"/>
      <c r="AL90" s="1248"/>
      <c r="AM90" s="1248"/>
      <c r="AN90" s="1248"/>
      <c r="AO90" s="2267">
        <v>11</v>
      </c>
    </row>
    <row s="35197" customFormat="1" customHeight="1" ht="11.549999999999999">
      <c r="A91" s="1613"/>
      <c r="B91" s="1613"/>
      <c r="C91" s="1613"/>
      <c r="D91" s="1613"/>
      <c r="E91" s="1613"/>
      <c r="F91" s="2262"/>
      <c r="G91" s="2262"/>
      <c r="H91" s="977"/>
      <c r="N91" s="4642"/>
      <c r="O91" s="4642"/>
      <c r="P91" s="4642"/>
      <c r="Q91" s="4642"/>
      <c r="R91" s="1992"/>
      <c r="T91" s="1992"/>
      <c r="U91" s="2262"/>
      <c r="V91" s="2262"/>
      <c r="W91" s="1992"/>
      <c r="X91" s="1992"/>
      <c r="Y91" s="1992"/>
      <c r="Z91" s="1992"/>
      <c r="AA91" s="2262"/>
      <c r="AB91" s="1992"/>
      <c r="AC91" s="1992"/>
      <c r="AD91" s="1170"/>
      <c r="AE91" s="1992"/>
      <c r="AF91" s="1992"/>
      <c r="AG91" s="1992"/>
      <c r="AH91" s="1992"/>
      <c r="AI91" s="1992"/>
      <c r="AJ91" s="2258"/>
      <c r="AK91" s="1248"/>
      <c r="AL91" s="1248"/>
      <c r="AM91" s="1248"/>
      <c r="AN91" s="1248"/>
      <c r="AO91" s="2267">
        <v>11</v>
      </c>
    </row>
    <row s="35197" customFormat="1" customHeight="1" ht="11.549999999999999">
      <c r="A92" s="1613"/>
      <c r="B92" s="1613"/>
      <c r="C92" s="1613"/>
      <c r="D92" s="1613"/>
      <c r="E92" s="1613"/>
      <c r="F92" s="2262"/>
      <c r="G92" s="2262"/>
      <c r="H92" s="977"/>
      <c r="N92" s="4642"/>
      <c r="O92" s="4642"/>
      <c r="P92" s="4642"/>
      <c r="Q92" s="4642"/>
      <c r="R92" s="1992"/>
      <c r="T92" s="1992"/>
      <c r="U92" s="2262"/>
      <c r="V92" s="2262"/>
      <c r="W92" s="1992"/>
      <c r="X92" s="1992"/>
      <c r="Y92" s="1992"/>
      <c r="Z92" s="1992"/>
      <c r="AA92" s="2262"/>
      <c r="AB92" s="1992"/>
      <c r="AC92" s="1992"/>
      <c r="AD92" s="1170"/>
      <c r="AE92" s="1992"/>
      <c r="AF92" s="1992"/>
      <c r="AG92" s="1992"/>
      <c r="AH92" s="1992"/>
      <c r="AI92" s="1992"/>
      <c r="AJ92" s="2258"/>
      <c r="AK92" s="1248"/>
      <c r="AL92" s="1248"/>
      <c r="AM92" s="1248"/>
      <c r="AN92" s="1248"/>
      <c r="AO92" s="2267">
        <v>11</v>
      </c>
    </row>
    <row s="35197" customFormat="1" customHeight="1" ht="11.549999999999999">
      <c r="A93" s="1613"/>
      <c r="B93" s="1613"/>
      <c r="C93" s="1613"/>
      <c r="D93" s="1613"/>
      <c r="E93" s="1613"/>
      <c r="F93" s="2262"/>
      <c r="G93" s="2262"/>
      <c r="H93" s="977"/>
      <c r="N93" s="4642"/>
      <c r="O93" s="4642"/>
      <c r="P93" s="4642"/>
      <c r="Q93" s="4642"/>
      <c r="R93" s="1992"/>
      <c r="T93" s="1992"/>
      <c r="U93" s="2262"/>
      <c r="V93" s="2262"/>
      <c r="W93" s="1992"/>
      <c r="X93" s="1992"/>
      <c r="Y93" s="1992"/>
      <c r="Z93" s="1992"/>
      <c r="AA93" s="2262"/>
      <c r="AB93" s="1992"/>
      <c r="AC93" s="1992"/>
      <c r="AD93" s="1170"/>
      <c r="AE93" s="1992"/>
      <c r="AF93" s="1992"/>
      <c r="AG93" s="1992"/>
      <c r="AH93" s="1992"/>
      <c r="AI93" s="1992"/>
      <c r="AJ93" s="2258"/>
      <c r="AK93" s="1248"/>
      <c r="AL93" s="1248"/>
      <c r="AM93" s="1248"/>
      <c r="AN93" s="1248"/>
      <c r="AO93" s="2267">
        <v>11</v>
      </c>
    </row>
    <row s="35197" customFormat="1" customHeight="1" ht="11.549999999999999">
      <c r="A94" s="1613"/>
      <c r="B94" s="1613"/>
      <c r="C94" s="1613"/>
      <c r="D94" s="1613"/>
      <c r="E94" s="1613"/>
      <c r="F94" s="2262"/>
      <c r="G94" s="2262"/>
      <c r="H94" s="977"/>
      <c r="N94" s="4642"/>
      <c r="O94" s="4642"/>
      <c r="P94" s="4642"/>
      <c r="Q94" s="4642"/>
      <c r="R94" s="1992"/>
      <c r="T94" s="1992"/>
      <c r="U94" s="2262"/>
      <c r="V94" s="2262"/>
      <c r="W94" s="1992"/>
      <c r="X94" s="1992"/>
      <c r="Y94" s="1992"/>
      <c r="Z94" s="1992"/>
      <c r="AA94" s="2262"/>
      <c r="AB94" s="1992"/>
      <c r="AC94" s="1992"/>
      <c r="AD94" s="1170"/>
      <c r="AE94" s="1992"/>
      <c r="AF94" s="1992"/>
      <c r="AG94" s="1992"/>
      <c r="AH94" s="1992"/>
      <c r="AI94" s="1992"/>
      <c r="AJ94" s="2258"/>
      <c r="AK94" s="1248"/>
      <c r="AL94" s="1248"/>
      <c r="AM94" s="1248"/>
      <c r="AN94" s="1248"/>
      <c r="AO94" s="2267">
        <v>11</v>
      </c>
    </row>
    <row s="35197" customFormat="1" customHeight="1" ht="11.549999999999999">
      <c r="A95" s="1613"/>
      <c r="B95" s="1613"/>
      <c r="C95" s="1613"/>
      <c r="D95" s="1613"/>
      <c r="E95" s="1613"/>
      <c r="F95" s="2262"/>
      <c r="G95" s="2262"/>
      <c r="H95" s="977"/>
      <c r="N95" s="4642"/>
      <c r="O95" s="4642"/>
      <c r="P95" s="4642"/>
      <c r="Q95" s="4642"/>
      <c r="R95" s="1992"/>
      <c r="T95" s="1992"/>
      <c r="U95" s="2262"/>
      <c r="V95" s="2262"/>
      <c r="W95" s="1992"/>
      <c r="X95" s="1992"/>
      <c r="Y95" s="1992"/>
      <c r="Z95" s="1992"/>
      <c r="AA95" s="2262"/>
      <c r="AB95" s="1992"/>
      <c r="AC95" s="1992"/>
      <c r="AD95" s="1170"/>
      <c r="AE95" s="1992"/>
      <c r="AF95" s="1992"/>
      <c r="AG95" s="1992"/>
      <c r="AH95" s="1992"/>
      <c r="AI95" s="1992"/>
      <c r="AJ95" s="2258"/>
      <c r="AK95" s="1248"/>
      <c r="AL95" s="1248"/>
      <c r="AM95" s="1248"/>
      <c r="AN95" s="1248"/>
      <c r="AO95" s="2267">
        <v>11</v>
      </c>
    </row>
    <row s="35197" customFormat="1" customHeight="1" ht="11.549999999999999">
      <c r="A96" s="1613"/>
      <c r="B96" s="1613"/>
      <c r="C96" s="1613"/>
      <c r="D96" s="1613"/>
      <c r="E96" s="1613"/>
      <c r="F96" s="2262"/>
      <c r="G96" s="2262"/>
      <c r="H96" s="977"/>
      <c r="N96" s="4642"/>
      <c r="O96" s="4642"/>
      <c r="P96" s="4642"/>
      <c r="Q96" s="4642"/>
      <c r="R96" s="1992"/>
      <c r="T96" s="1992"/>
      <c r="U96" s="2262"/>
      <c r="V96" s="2262"/>
      <c r="W96" s="1992"/>
      <c r="X96" s="1992"/>
      <c r="Y96" s="1992"/>
      <c r="Z96" s="1992"/>
      <c r="AA96" s="2262"/>
      <c r="AB96" s="1992"/>
      <c r="AC96" s="1992"/>
      <c r="AD96" s="1170"/>
      <c r="AE96" s="1992"/>
      <c r="AF96" s="1992"/>
      <c r="AG96" s="1992"/>
      <c r="AH96" s="1992"/>
      <c r="AI96" s="1992"/>
      <c r="AJ96" s="2258"/>
      <c r="AK96" s="1248"/>
      <c r="AL96" s="1248"/>
      <c r="AM96" s="1248"/>
      <c r="AN96" s="1248"/>
      <c r="AO96" s="2267">
        <v>11</v>
      </c>
    </row>
    <row s="35197" customFormat="1" customHeight="1" ht="11.549999999999999">
      <c r="A97" s="1613"/>
      <c r="B97" s="1613"/>
      <c r="C97" s="1613"/>
      <c r="D97" s="1613"/>
      <c r="E97" s="1613"/>
      <c r="F97" s="2262"/>
      <c r="G97" s="2262"/>
      <c r="H97" s="977"/>
      <c r="N97" s="4642"/>
      <c r="O97" s="4642"/>
      <c r="P97" s="4642"/>
      <c r="Q97" s="4642"/>
      <c r="R97" s="1992"/>
      <c r="T97" s="1992"/>
      <c r="U97" s="2262"/>
      <c r="V97" s="2262"/>
      <c r="W97" s="1992"/>
      <c r="X97" s="1992"/>
      <c r="Y97" s="1992"/>
      <c r="Z97" s="1992"/>
      <c r="AA97" s="2262"/>
      <c r="AB97" s="1992"/>
      <c r="AC97" s="1992"/>
      <c r="AD97" s="1170"/>
      <c r="AE97" s="1992"/>
      <c r="AF97" s="1992"/>
      <c r="AG97" s="1992"/>
      <c r="AH97" s="1992"/>
      <c r="AI97" s="1992"/>
      <c r="AJ97" s="2258"/>
      <c r="AK97" s="1248"/>
      <c r="AL97" s="1248"/>
      <c r="AM97" s="1248"/>
      <c r="AN97" s="1248"/>
      <c r="AO97" s="2267">
        <v>11</v>
      </c>
    </row>
    <row s="35197" customFormat="1" customHeight="1" ht="11.549999999999999">
      <c r="A98" s="1613"/>
      <c r="B98" s="1613"/>
      <c r="C98" s="1613"/>
      <c r="D98" s="1613"/>
      <c r="E98" s="1613"/>
      <c r="F98" s="2262"/>
      <c r="G98" s="2262"/>
      <c r="H98" s="977"/>
      <c r="N98" s="4642"/>
      <c r="O98" s="4642"/>
      <c r="P98" s="4642"/>
      <c r="Q98" s="4642"/>
      <c r="R98" s="1992"/>
      <c r="T98" s="1992"/>
      <c r="U98" s="2262"/>
      <c r="V98" s="2262"/>
      <c r="W98" s="1992"/>
      <c r="X98" s="1992"/>
      <c r="Y98" s="1992"/>
      <c r="Z98" s="1992"/>
      <c r="AA98" s="2262"/>
      <c r="AB98" s="1992"/>
      <c r="AC98" s="1992"/>
      <c r="AD98" s="1170"/>
      <c r="AE98" s="1992"/>
      <c r="AF98" s="1992"/>
      <c r="AG98" s="1992"/>
      <c r="AH98" s="1992"/>
      <c r="AI98" s="1992"/>
      <c r="AJ98" s="2258"/>
      <c r="AK98" s="1248"/>
      <c r="AL98" s="1248"/>
      <c r="AM98" s="1248"/>
      <c r="AN98" s="1248"/>
      <c r="AO98" s="2267">
        <v>11</v>
      </c>
    </row>
    <row s="35197" customFormat="1" customHeight="1" ht="11.549999999999999">
      <c r="A99" s="1613"/>
      <c r="B99" s="1613"/>
      <c r="C99" s="1613"/>
      <c r="D99" s="1613"/>
      <c r="E99" s="1613"/>
      <c r="F99" s="2262"/>
      <c r="G99" s="2262"/>
      <c r="H99" s="977"/>
      <c r="N99" s="4642"/>
      <c r="O99" s="4642"/>
      <c r="P99" s="4642"/>
      <c r="Q99" s="4642"/>
      <c r="R99" s="1992"/>
      <c r="T99" s="1992"/>
      <c r="U99" s="2262"/>
      <c r="V99" s="2262"/>
      <c r="W99" s="1992"/>
      <c r="X99" s="1992"/>
      <c r="Y99" s="1992"/>
      <c r="Z99" s="1992"/>
      <c r="AA99" s="2262"/>
      <c r="AB99" s="1992"/>
      <c r="AC99" s="1992"/>
      <c r="AD99" s="1170"/>
      <c r="AE99" s="1992"/>
      <c r="AF99" s="1992"/>
      <c r="AG99" s="1992"/>
      <c r="AH99" s="1992"/>
      <c r="AI99" s="1992"/>
      <c r="AJ99" s="2258"/>
      <c r="AK99" s="1248"/>
      <c r="AL99" s="1248"/>
      <c r="AM99" s="1248"/>
      <c r="AN99" s="1248"/>
      <c r="AO99" s="2267">
        <v>11</v>
      </c>
    </row>
    <row s="35197" customFormat="1" customHeight="1" ht="11.549999999999999">
      <c r="A100" s="1613"/>
      <c r="B100" s="1613"/>
      <c r="C100" s="1613"/>
      <c r="D100" s="1613"/>
      <c r="E100" s="1613"/>
      <c r="F100" s="2262"/>
      <c r="G100" s="2262"/>
      <c r="H100" s="977"/>
      <c r="N100" s="4642"/>
      <c r="O100" s="4642"/>
      <c r="P100" s="4642"/>
      <c r="Q100" s="4642"/>
      <c r="R100" s="1992"/>
      <c r="T100" s="1992"/>
      <c r="U100" s="2262"/>
      <c r="V100" s="2262"/>
      <c r="W100" s="1992"/>
      <c r="X100" s="1992"/>
      <c r="Y100" s="1992"/>
      <c r="Z100" s="1992"/>
      <c r="AA100" s="2262"/>
      <c r="AB100" s="1992"/>
      <c r="AC100" s="1992"/>
      <c r="AD100" s="1170"/>
      <c r="AE100" s="1992"/>
      <c r="AF100" s="1992"/>
      <c r="AG100" s="1992"/>
      <c r="AH100" s="1992"/>
      <c r="AI100" s="1992"/>
      <c r="AJ100" s="2258"/>
      <c r="AK100" s="1248"/>
      <c r="AL100" s="1248"/>
      <c r="AM100" s="1248"/>
      <c r="AN100" s="1248"/>
      <c r="AO100" s="2267">
        <v>11</v>
      </c>
    </row>
    <row s="35197" customFormat="1" customHeight="1" ht="11.549999999999999">
      <c r="A101" s="1613"/>
      <c r="B101" s="1613"/>
      <c r="C101" s="1613"/>
      <c r="D101" s="1613"/>
      <c r="E101" s="1613"/>
      <c r="F101" s="2262"/>
      <c r="G101" s="2262"/>
      <c r="H101" s="977"/>
      <c r="N101" s="4642"/>
      <c r="O101" s="4642"/>
      <c r="P101" s="4642"/>
      <c r="Q101" s="4642"/>
      <c r="R101" s="1992"/>
      <c r="T101" s="1992"/>
      <c r="U101" s="2262"/>
      <c r="V101" s="2262"/>
      <c r="W101" s="1992"/>
      <c r="X101" s="1992"/>
      <c r="Y101" s="1992"/>
      <c r="Z101" s="1992"/>
      <c r="AA101" s="2262"/>
      <c r="AB101" s="1992"/>
      <c r="AC101" s="1992"/>
      <c r="AD101" s="1170"/>
      <c r="AE101" s="1992"/>
      <c r="AF101" s="1992"/>
      <c r="AG101" s="1992"/>
      <c r="AH101" s="1992"/>
      <c r="AI101" s="1992"/>
      <c r="AJ101" s="2258"/>
      <c r="AK101" s="1248"/>
      <c r="AL101" s="1248"/>
      <c r="AM101" s="1248"/>
      <c r="AN101" s="1248"/>
      <c r="AO101" s="2267">
        <v>11</v>
      </c>
    </row>
    <row s="35197" customFormat="1" customHeight="1" ht="11.549999999999999">
      <c r="A102" s="1613"/>
      <c r="B102" s="1613"/>
      <c r="C102" s="1613"/>
      <c r="D102" s="1613"/>
      <c r="E102" s="1613"/>
      <c r="F102" s="2262"/>
      <c r="G102" s="2262"/>
      <c r="H102" s="977"/>
      <c r="N102" s="4642"/>
      <c r="O102" s="4642"/>
      <c r="P102" s="4642"/>
      <c r="Q102" s="4642"/>
      <c r="R102" s="1992"/>
      <c r="T102" s="1992"/>
      <c r="U102" s="2262"/>
      <c r="V102" s="2262"/>
      <c r="W102" s="1992"/>
      <c r="X102" s="1992"/>
      <c r="Y102" s="1992"/>
      <c r="Z102" s="1992"/>
      <c r="AA102" s="2262"/>
      <c r="AB102" s="1992"/>
      <c r="AC102" s="1992"/>
      <c r="AD102" s="1170"/>
      <c r="AE102" s="1992"/>
      <c r="AF102" s="1992"/>
      <c r="AG102" s="1992"/>
      <c r="AH102" s="1992"/>
      <c r="AI102" s="1992"/>
      <c r="AJ102" s="2258"/>
      <c r="AK102" s="1248"/>
      <c r="AL102" s="1248"/>
      <c r="AM102" s="1248"/>
      <c r="AN102" s="1248"/>
      <c r="AO102" s="2267">
        <v>11</v>
      </c>
    </row>
    <row s="35197" customFormat="1" customHeight="1" ht="11.549999999999999">
      <c r="A103" s="1613"/>
      <c r="B103" s="1613"/>
      <c r="C103" s="1613"/>
      <c r="D103" s="1613"/>
      <c r="E103" s="1613"/>
      <c r="F103" s="2262"/>
      <c r="G103" s="2262"/>
      <c r="H103" s="977"/>
      <c r="N103" s="4642"/>
      <c r="O103" s="4642"/>
      <c r="P103" s="4642"/>
      <c r="Q103" s="4642"/>
      <c r="R103" s="1992"/>
      <c r="T103" s="1992"/>
      <c r="U103" s="2262"/>
      <c r="V103" s="2262"/>
      <c r="W103" s="1992"/>
      <c r="X103" s="1992"/>
      <c r="Y103" s="1992"/>
      <c r="Z103" s="1992"/>
      <c r="AA103" s="2262"/>
      <c r="AB103" s="1992"/>
      <c r="AC103" s="1992"/>
      <c r="AD103" s="1170"/>
      <c r="AE103" s="1992"/>
      <c r="AF103" s="1992"/>
      <c r="AG103" s="1992"/>
      <c r="AH103" s="1992"/>
      <c r="AI103" s="1992"/>
      <c r="AJ103" s="2258"/>
      <c r="AK103" s="1248"/>
      <c r="AL103" s="1248"/>
      <c r="AM103" s="1248"/>
      <c r="AN103" s="1248"/>
      <c r="AO103" s="2267">
        <v>11</v>
      </c>
    </row>
    <row s="35197" customFormat="1" customHeight="1" ht="11.549999999999999">
      <c r="A104" s="1613"/>
      <c r="B104" s="1613"/>
      <c r="C104" s="1613"/>
      <c r="D104" s="1613"/>
      <c r="E104" s="1613"/>
      <c r="F104" s="2262"/>
      <c r="G104" s="2262"/>
      <c r="H104" s="977"/>
      <c r="N104" s="4642"/>
      <c r="O104" s="4642"/>
      <c r="P104" s="4642"/>
      <c r="Q104" s="4642"/>
      <c r="R104" s="1992"/>
      <c r="T104" s="1992"/>
      <c r="U104" s="2262"/>
      <c r="V104" s="2262"/>
      <c r="W104" s="1992"/>
      <c r="X104" s="1992"/>
      <c r="Y104" s="1992"/>
      <c r="Z104" s="1992"/>
      <c r="AA104" s="2262"/>
      <c r="AB104" s="1992"/>
      <c r="AC104" s="1992"/>
      <c r="AD104" s="1170"/>
      <c r="AE104" s="1992"/>
      <c r="AF104" s="1992"/>
      <c r="AG104" s="1992"/>
      <c r="AH104" s="1992"/>
      <c r="AI104" s="1992"/>
      <c r="AJ104" s="2258"/>
      <c r="AK104" s="1248"/>
      <c r="AL104" s="1248"/>
      <c r="AM104" s="1248"/>
      <c r="AN104" s="1248"/>
      <c r="AO104" s="2267">
        <v>11</v>
      </c>
    </row>
    <row s="35197" customFormat="1" customHeight="1" ht="11.549999999999999">
      <c r="A105" s="1613"/>
      <c r="B105" s="1613"/>
      <c r="C105" s="1613"/>
      <c r="D105" s="1613"/>
      <c r="E105" s="1613"/>
      <c r="F105" s="2262"/>
      <c r="G105" s="2262"/>
      <c r="H105" s="977"/>
      <c r="N105" s="4642"/>
      <c r="O105" s="4642"/>
      <c r="P105" s="4642"/>
      <c r="Q105" s="4642"/>
      <c r="R105" s="1992"/>
      <c r="T105" s="1992"/>
      <c r="U105" s="2262"/>
      <c r="V105" s="2262"/>
      <c r="W105" s="1992"/>
      <c r="X105" s="1992"/>
      <c r="Y105" s="1992"/>
      <c r="Z105" s="1992"/>
      <c r="AA105" s="2262"/>
      <c r="AB105" s="1992"/>
      <c r="AC105" s="1992"/>
      <c r="AD105" s="1170"/>
      <c r="AE105" s="1992"/>
      <c r="AF105" s="1992"/>
      <c r="AG105" s="1992"/>
      <c r="AH105" s="1992"/>
      <c r="AI105" s="1992"/>
      <c r="AJ105" s="2258"/>
      <c r="AK105" s="1248"/>
      <c r="AL105" s="1248"/>
      <c r="AM105" s="1248"/>
      <c r="AN105" s="1248"/>
      <c r="AO105" s="2267">
        <v>11</v>
      </c>
    </row>
    <row s="35197" customFormat="1" customHeight="1" ht="11.549999999999999">
      <c r="A106" s="1613"/>
      <c r="B106" s="1613"/>
      <c r="C106" s="1613"/>
      <c r="D106" s="1613"/>
      <c r="E106" s="1613"/>
      <c r="F106" s="2262"/>
      <c r="G106" s="2262"/>
      <c r="H106" s="977"/>
      <c r="N106" s="4642"/>
      <c r="O106" s="4642"/>
      <c r="P106" s="4642"/>
      <c r="Q106" s="4642"/>
      <c r="R106" s="1992"/>
      <c r="T106" s="1992"/>
      <c r="U106" s="2262"/>
      <c r="V106" s="2262"/>
      <c r="W106" s="1992"/>
      <c r="X106" s="1992"/>
      <c r="Y106" s="1992"/>
      <c r="Z106" s="1992"/>
      <c r="AA106" s="2262"/>
      <c r="AB106" s="1992"/>
      <c r="AC106" s="1992"/>
      <c r="AD106" s="1170"/>
      <c r="AE106" s="1992"/>
      <c r="AF106" s="1992"/>
      <c r="AG106" s="1992"/>
      <c r="AH106" s="1992"/>
      <c r="AI106" s="1992"/>
      <c r="AJ106" s="2258"/>
      <c r="AK106" s="1248"/>
      <c r="AL106" s="1248"/>
      <c r="AM106" s="1248"/>
      <c r="AN106" s="1248"/>
      <c r="AO106" s="2267">
        <v>11</v>
      </c>
    </row>
    <row s="35197" customFormat="1" customHeight="1" ht="11.549999999999999">
      <c r="A107" s="1613"/>
      <c r="B107" s="1613"/>
      <c r="C107" s="1613"/>
      <c r="D107" s="1613"/>
      <c r="E107" s="1613"/>
      <c r="F107" s="2262"/>
      <c r="G107" s="2262"/>
      <c r="H107" s="977"/>
      <c r="N107" s="4642"/>
      <c r="O107" s="4642"/>
      <c r="P107" s="4642"/>
      <c r="Q107" s="4642"/>
      <c r="R107" s="1992"/>
      <c r="T107" s="1992"/>
      <c r="U107" s="2262"/>
      <c r="V107" s="2262"/>
      <c r="W107" s="1992"/>
      <c r="X107" s="1992"/>
      <c r="Y107" s="1992"/>
      <c r="Z107" s="1992"/>
      <c r="AA107" s="2262"/>
      <c r="AB107" s="1992"/>
      <c r="AC107" s="1992"/>
      <c r="AD107" s="1170"/>
      <c r="AE107" s="1992"/>
      <c r="AF107" s="1992"/>
      <c r="AG107" s="1992"/>
      <c r="AH107" s="1992"/>
      <c r="AI107" s="1992"/>
      <c r="AJ107" s="2258"/>
      <c r="AK107" s="1248"/>
      <c r="AL107" s="1248"/>
      <c r="AM107" s="1248"/>
      <c r="AN107" s="1248"/>
      <c r="AO107" s="2267">
        <v>11</v>
      </c>
    </row>
    <row s="35197" customFormat="1" customHeight="1" ht="11.549999999999999">
      <c r="A108" s="1613"/>
      <c r="B108" s="1613"/>
      <c r="C108" s="1613"/>
      <c r="D108" s="1613"/>
      <c r="E108" s="1613"/>
      <c r="F108" s="2262"/>
      <c r="G108" s="2262"/>
      <c r="H108" s="977"/>
      <c r="N108" s="4642"/>
      <c r="O108" s="4642"/>
      <c r="P108" s="4642"/>
      <c r="Q108" s="4642"/>
      <c r="R108" s="1992"/>
      <c r="T108" s="1992"/>
      <c r="U108" s="2262"/>
      <c r="V108" s="2262"/>
      <c r="W108" s="1992"/>
      <c r="X108" s="1992"/>
      <c r="Y108" s="1992"/>
      <c r="Z108" s="1992"/>
      <c r="AA108" s="2262"/>
      <c r="AB108" s="1992"/>
      <c r="AC108" s="1992"/>
      <c r="AD108" s="1170"/>
      <c r="AE108" s="1992"/>
      <c r="AF108" s="1992"/>
      <c r="AG108" s="1992"/>
      <c r="AH108" s="1992"/>
      <c r="AI108" s="1992"/>
      <c r="AJ108" s="2258"/>
      <c r="AK108" s="1248"/>
      <c r="AL108" s="1248"/>
      <c r="AM108" s="1248"/>
      <c r="AN108" s="1248"/>
      <c r="AO108" s="2267">
        <v>11</v>
      </c>
    </row>
    <row s="35197" customFormat="1" customHeight="1" ht="11.549999999999999">
      <c r="A109" s="1613"/>
      <c r="B109" s="1613"/>
      <c r="C109" s="1613"/>
      <c r="D109" s="1613"/>
      <c r="E109" s="1613"/>
      <c r="F109" s="2262"/>
      <c r="G109" s="2262"/>
      <c r="H109" s="977"/>
      <c r="N109" s="4642"/>
      <c r="O109" s="4642"/>
      <c r="P109" s="4642"/>
      <c r="Q109" s="4642"/>
      <c r="R109" s="1992"/>
      <c r="T109" s="1992"/>
      <c r="U109" s="2262"/>
      <c r="V109" s="2262"/>
      <c r="W109" s="1992"/>
      <c r="X109" s="1992"/>
      <c r="Y109" s="1992"/>
      <c r="Z109" s="1992"/>
      <c r="AA109" s="2262"/>
      <c r="AB109" s="1992"/>
      <c r="AC109" s="1992"/>
      <c r="AD109" s="1170"/>
      <c r="AE109" s="1992"/>
      <c r="AF109" s="1992"/>
      <c r="AG109" s="1992"/>
      <c r="AH109" s="1992"/>
      <c r="AI109" s="1992"/>
      <c r="AJ109" s="2258"/>
      <c r="AK109" s="1248"/>
      <c r="AL109" s="1248"/>
      <c r="AM109" s="1248"/>
      <c r="AN109" s="1248"/>
      <c r="AO109" s="2267">
        <v>11</v>
      </c>
    </row>
    <row s="35197" customFormat="1" customHeight="1" ht="11.549999999999999">
      <c r="A110" s="1613"/>
      <c r="B110" s="1613"/>
      <c r="C110" s="1613"/>
      <c r="D110" s="1613"/>
      <c r="E110" s="1613"/>
      <c r="F110" s="2262"/>
      <c r="G110" s="2262"/>
      <c r="H110" s="977"/>
      <c r="N110" s="4642"/>
      <c r="O110" s="4642"/>
      <c r="P110" s="4642"/>
      <c r="Q110" s="4642"/>
      <c r="R110" s="1992"/>
      <c r="T110" s="1992"/>
      <c r="U110" s="2262"/>
      <c r="V110" s="2262"/>
      <c r="W110" s="1992"/>
      <c r="X110" s="1992"/>
      <c r="Y110" s="1992"/>
      <c r="Z110" s="1992"/>
      <c r="AA110" s="2262"/>
      <c r="AB110" s="1992"/>
      <c r="AC110" s="1992"/>
      <c r="AD110" s="1170"/>
      <c r="AE110" s="1992"/>
      <c r="AF110" s="1992"/>
      <c r="AG110" s="1992"/>
      <c r="AH110" s="1992"/>
      <c r="AI110" s="1992"/>
      <c r="AJ110" s="2258"/>
      <c r="AK110" s="1248"/>
      <c r="AL110" s="1248"/>
      <c r="AM110" s="1248"/>
      <c r="AN110" s="1248"/>
      <c r="AO110" s="2267">
        <v>11</v>
      </c>
    </row>
    <row s="35197" customFormat="1" customHeight="1" ht="11.549999999999999">
      <c r="A111" s="1613"/>
      <c r="B111" s="1613"/>
      <c r="C111" s="1613"/>
      <c r="D111" s="1613"/>
      <c r="E111" s="1613"/>
      <c r="F111" s="2262"/>
      <c r="G111" s="2262"/>
      <c r="H111" s="977"/>
      <c r="N111" s="4642"/>
      <c r="O111" s="4642"/>
      <c r="P111" s="4642"/>
      <c r="Q111" s="4642"/>
      <c r="R111" s="1992"/>
      <c r="T111" s="1992"/>
      <c r="U111" s="2262"/>
      <c r="V111" s="2262"/>
      <c r="W111" s="1992"/>
      <c r="X111" s="1992"/>
      <c r="Y111" s="1992"/>
      <c r="Z111" s="1992"/>
      <c r="AA111" s="2262"/>
      <c r="AB111" s="1992"/>
      <c r="AC111" s="1992"/>
      <c r="AD111" s="1170"/>
      <c r="AE111" s="1992"/>
      <c r="AF111" s="1992"/>
      <c r="AG111" s="1992"/>
      <c r="AH111" s="1992"/>
      <c r="AI111" s="1992"/>
      <c r="AJ111" s="2258"/>
      <c r="AK111" s="1248"/>
      <c r="AL111" s="1248"/>
      <c r="AM111" s="1248"/>
      <c r="AN111" s="1248"/>
      <c r="AO111" s="2267">
        <v>11</v>
      </c>
    </row>
    <row s="35197" customFormat="1" customHeight="1" ht="11.549999999999999">
      <c r="A112" s="1613"/>
      <c r="B112" s="1613"/>
      <c r="C112" s="1613"/>
      <c r="D112" s="1613"/>
      <c r="E112" s="1613"/>
      <c r="F112" s="2262"/>
      <c r="G112" s="2262"/>
      <c r="H112" s="977"/>
      <c r="N112" s="4642"/>
      <c r="O112" s="4642"/>
      <c r="P112" s="4642"/>
      <c r="Q112" s="4642"/>
      <c r="R112" s="1992"/>
      <c r="T112" s="1992"/>
      <c r="U112" s="2262"/>
      <c r="V112" s="2262"/>
      <c r="W112" s="1992"/>
      <c r="X112" s="1992"/>
      <c r="Y112" s="1992"/>
      <c r="Z112" s="1992"/>
      <c r="AA112" s="2262"/>
      <c r="AB112" s="1992"/>
      <c r="AC112" s="1992"/>
      <c r="AD112" s="1170"/>
      <c r="AE112" s="1992"/>
      <c r="AF112" s="1992"/>
      <c r="AG112" s="1992"/>
      <c r="AH112" s="1992"/>
      <c r="AI112" s="1992"/>
      <c r="AJ112" s="2258"/>
      <c r="AK112" s="1248"/>
      <c r="AL112" s="1248"/>
      <c r="AM112" s="1248"/>
      <c r="AN112" s="1248"/>
      <c r="AO112" s="2267">
        <v>11</v>
      </c>
    </row>
    <row s="35197" customFormat="1" customHeight="1" ht="11.549999999999999">
      <c r="A113" s="1613"/>
      <c r="B113" s="1613"/>
      <c r="C113" s="1613"/>
      <c r="D113" s="1613"/>
      <c r="E113" s="1613"/>
      <c r="F113" s="2262"/>
      <c r="G113" s="2262"/>
      <c r="H113" s="977"/>
      <c r="N113" s="4642"/>
      <c r="O113" s="4642"/>
      <c r="P113" s="4642"/>
      <c r="Q113" s="4642"/>
      <c r="R113" s="1992"/>
      <c r="T113" s="1992"/>
      <c r="U113" s="2262"/>
      <c r="V113" s="2262"/>
      <c r="W113" s="1992"/>
      <c r="X113" s="1992"/>
      <c r="Y113" s="1992"/>
      <c r="Z113" s="1992"/>
      <c r="AA113" s="2262"/>
      <c r="AB113" s="1992"/>
      <c r="AC113" s="1992"/>
      <c r="AD113" s="1170"/>
      <c r="AE113" s="1992"/>
      <c r="AF113" s="1992"/>
      <c r="AG113" s="1992"/>
      <c r="AH113" s="1992"/>
      <c r="AI113" s="1992"/>
      <c r="AJ113" s="2258"/>
      <c r="AK113" s="1248"/>
      <c r="AL113" s="1248"/>
      <c r="AM113" s="1248"/>
      <c r="AN113" s="1248"/>
      <c r="AO113" s="2267">
        <v>11</v>
      </c>
    </row>
    <row s="35197" customFormat="1" customHeight="1" ht="11.549999999999999">
      <c r="A114" s="1613"/>
      <c r="B114" s="1613"/>
      <c r="C114" s="1613"/>
      <c r="D114" s="1613"/>
      <c r="E114" s="1613"/>
      <c r="F114" s="2262"/>
      <c r="G114" s="2262"/>
      <c r="H114" s="977"/>
      <c r="N114" s="4642"/>
      <c r="O114" s="4642"/>
      <c r="P114" s="4642"/>
      <c r="Q114" s="4642"/>
      <c r="R114" s="1992"/>
      <c r="T114" s="1992"/>
      <c r="U114" s="2262"/>
      <c r="V114" s="2262"/>
      <c r="W114" s="1992"/>
      <c r="X114" s="1992"/>
      <c r="Y114" s="1992"/>
      <c r="Z114" s="1992"/>
      <c r="AA114" s="2262"/>
      <c r="AB114" s="1992"/>
      <c r="AC114" s="1992"/>
      <c r="AD114" s="1170"/>
      <c r="AE114" s="1992"/>
      <c r="AF114" s="1992"/>
      <c r="AG114" s="1992"/>
      <c r="AH114" s="1992"/>
      <c r="AI114" s="1992"/>
      <c r="AJ114" s="2258"/>
      <c r="AK114" s="1248"/>
      <c r="AL114" s="1248"/>
      <c r="AM114" s="1248"/>
      <c r="AN114" s="1248"/>
      <c r="AO114" s="2267">
        <v>11</v>
      </c>
    </row>
    <row s="35197" customFormat="1" customHeight="1" ht="11.549999999999999">
      <c r="A115" s="1613"/>
      <c r="B115" s="1613"/>
      <c r="C115" s="1613"/>
      <c r="D115" s="1613"/>
      <c r="E115" s="1613"/>
      <c r="F115" s="2262"/>
      <c r="G115" s="2262"/>
      <c r="H115" s="977"/>
      <c r="N115" s="4642"/>
      <c r="O115" s="4642"/>
      <c r="P115" s="4642"/>
      <c r="Q115" s="4642"/>
      <c r="R115" s="1992"/>
      <c r="T115" s="1992"/>
      <c r="U115" s="2262"/>
      <c r="V115" s="2262"/>
      <c r="W115" s="1992"/>
      <c r="X115" s="1992"/>
      <c r="Y115" s="1992"/>
      <c r="Z115" s="1992"/>
      <c r="AA115" s="2262"/>
      <c r="AB115" s="1992"/>
      <c r="AC115" s="1992"/>
      <c r="AD115" s="1170"/>
      <c r="AE115" s="1992"/>
      <c r="AF115" s="1992"/>
      <c r="AG115" s="1992"/>
      <c r="AH115" s="1992"/>
      <c r="AI115" s="1992"/>
      <c r="AJ115" s="2258"/>
      <c r="AK115" s="1248"/>
      <c r="AL115" s="1248"/>
      <c r="AM115" s="1248"/>
      <c r="AN115" s="1248"/>
      <c r="AO115" s="2267">
        <v>11</v>
      </c>
    </row>
    <row s="35197" customFormat="1" customHeight="1" ht="11.549999999999999">
      <c r="A116" s="1613"/>
      <c r="B116" s="1613"/>
      <c r="C116" s="1613"/>
      <c r="D116" s="1613"/>
      <c r="E116" s="1613"/>
      <c r="F116" s="2262"/>
      <c r="G116" s="2262"/>
      <c r="H116" s="977"/>
      <c r="N116" s="4642"/>
      <c r="O116" s="4642"/>
      <c r="P116" s="4642"/>
      <c r="Q116" s="4642"/>
      <c r="R116" s="1992"/>
      <c r="T116" s="1992"/>
      <c r="U116" s="2262"/>
      <c r="V116" s="2262"/>
      <c r="W116" s="1992"/>
      <c r="X116" s="1992"/>
      <c r="Y116" s="1992"/>
      <c r="Z116" s="1992"/>
      <c r="AA116" s="2262"/>
      <c r="AB116" s="1992"/>
      <c r="AC116" s="1992"/>
      <c r="AD116" s="1170"/>
      <c r="AE116" s="1992"/>
      <c r="AF116" s="1992"/>
      <c r="AG116" s="1992"/>
      <c r="AH116" s="1992"/>
      <c r="AI116" s="1992"/>
      <c r="AJ116" s="2258"/>
      <c r="AK116" s="1248"/>
      <c r="AL116" s="1248"/>
      <c r="AM116" s="1248"/>
      <c r="AN116" s="1248"/>
      <c r="AO116" s="2267">
        <v>11</v>
      </c>
    </row>
    <row s="35197" customFormat="1" customHeight="1" ht="11.549999999999999">
      <c r="A117" s="1613"/>
      <c r="B117" s="1613"/>
      <c r="C117" s="1613"/>
      <c r="D117" s="1613"/>
      <c r="E117" s="1613"/>
      <c r="F117" s="2262"/>
      <c r="G117" s="2262"/>
      <c r="H117" s="977"/>
      <c r="N117" s="4642"/>
      <c r="O117" s="4642"/>
      <c r="P117" s="4642"/>
      <c r="Q117" s="4642"/>
      <c r="R117" s="1992"/>
      <c r="T117" s="1992"/>
      <c r="U117" s="2262"/>
      <c r="V117" s="2262"/>
      <c r="W117" s="1992"/>
      <c r="X117" s="1992"/>
      <c r="Y117" s="1992"/>
      <c r="Z117" s="1992"/>
      <c r="AA117" s="2262"/>
      <c r="AB117" s="1992"/>
      <c r="AC117" s="1992"/>
      <c r="AD117" s="1170"/>
      <c r="AE117" s="1992"/>
      <c r="AF117" s="1992"/>
      <c r="AG117" s="1992"/>
      <c r="AH117" s="1992"/>
      <c r="AI117" s="1992"/>
      <c r="AJ117" s="2258"/>
      <c r="AK117" s="1248"/>
      <c r="AL117" s="1248"/>
      <c r="AM117" s="1248"/>
      <c r="AN117" s="1248"/>
      <c r="AO117" s="2267">
        <v>11</v>
      </c>
    </row>
    <row s="35197" customFormat="1" customHeight="1" ht="11.549999999999999">
      <c r="A118" s="1613"/>
      <c r="B118" s="1613"/>
      <c r="C118" s="1613"/>
      <c r="D118" s="1613"/>
      <c r="E118" s="1613"/>
      <c r="F118" s="2262"/>
      <c r="G118" s="2262"/>
      <c r="H118" s="977"/>
      <c r="N118" s="4642"/>
      <c r="O118" s="4642"/>
      <c r="P118" s="4642"/>
      <c r="Q118" s="4642"/>
      <c r="R118" s="1992"/>
      <c r="T118" s="1992"/>
      <c r="U118" s="2262"/>
      <c r="V118" s="2262"/>
      <c r="W118" s="1992"/>
      <c r="X118" s="1992"/>
      <c r="Y118" s="1992"/>
      <c r="Z118" s="1992"/>
      <c r="AA118" s="2262"/>
      <c r="AB118" s="1992"/>
      <c r="AC118" s="1992"/>
      <c r="AD118" s="1170"/>
      <c r="AE118" s="1992"/>
      <c r="AF118" s="1992"/>
      <c r="AG118" s="1992"/>
      <c r="AH118" s="1992"/>
      <c r="AI118" s="1992"/>
      <c r="AJ118" s="2258"/>
      <c r="AK118" s="1248"/>
      <c r="AL118" s="1248"/>
      <c r="AM118" s="1248"/>
      <c r="AN118" s="1248"/>
      <c r="AO118" s="2267">
        <v>11</v>
      </c>
    </row>
    <row s="35197" customFormat="1" customHeight="1" ht="11.549999999999999">
      <c r="A119" s="1613"/>
      <c r="B119" s="1613"/>
      <c r="C119" s="1613"/>
      <c r="D119" s="1613"/>
      <c r="E119" s="1613"/>
      <c r="F119" s="2262"/>
      <c r="G119" s="2262"/>
      <c r="H119" s="977"/>
      <c r="N119" s="4642"/>
      <c r="O119" s="4642"/>
      <c r="P119" s="4642"/>
      <c r="Q119" s="4642"/>
      <c r="R119" s="1992"/>
      <c r="T119" s="1992"/>
      <c r="U119" s="2262"/>
      <c r="V119" s="2262"/>
      <c r="W119" s="1992"/>
      <c r="X119" s="1992"/>
      <c r="Y119" s="1992"/>
      <c r="Z119" s="1992"/>
      <c r="AA119" s="2262"/>
      <c r="AB119" s="1992"/>
      <c r="AC119" s="1992"/>
      <c r="AD119" s="1170"/>
      <c r="AE119" s="1992"/>
      <c r="AF119" s="1992"/>
      <c r="AG119" s="1992"/>
      <c r="AH119" s="1992"/>
      <c r="AI119" s="1992"/>
      <c r="AJ119" s="2258"/>
      <c r="AK119" s="1248"/>
      <c r="AL119" s="1248"/>
      <c r="AM119" s="1248"/>
      <c r="AN119" s="1248"/>
      <c r="AO119" s="2267">
        <v>11</v>
      </c>
    </row>
    <row s="35197" customFormat="1" customHeight="1" ht="11.549999999999999">
      <c r="A120" s="1613"/>
      <c r="B120" s="1613"/>
      <c r="C120" s="1613"/>
      <c r="D120" s="1613"/>
      <c r="E120" s="1613"/>
      <c r="F120" s="2262"/>
      <c r="G120" s="2262"/>
      <c r="H120" s="977"/>
      <c r="N120" s="4642"/>
      <c r="O120" s="4642"/>
      <c r="P120" s="4642"/>
      <c r="Q120" s="4642"/>
      <c r="R120" s="1992"/>
      <c r="T120" s="1992"/>
      <c r="U120" s="2262"/>
      <c r="V120" s="2262"/>
      <c r="W120" s="1992"/>
      <c r="X120" s="1992"/>
      <c r="Y120" s="1992"/>
      <c r="Z120" s="1992"/>
      <c r="AA120" s="2262"/>
      <c r="AB120" s="1992"/>
      <c r="AC120" s="1992"/>
      <c r="AD120" s="1170"/>
      <c r="AE120" s="1992"/>
      <c r="AF120" s="1992"/>
      <c r="AG120" s="1992"/>
      <c r="AH120" s="1992"/>
      <c r="AI120" s="1992"/>
      <c r="AJ120" s="2258"/>
      <c r="AK120" s="1248"/>
      <c r="AL120" s="1248"/>
      <c r="AM120" s="1248"/>
      <c r="AN120" s="1248"/>
      <c r="AO120" s="2267">
        <v>11</v>
      </c>
    </row>
    <row s="35197" customFormat="1" customHeight="1" ht="11.549999999999999">
      <c r="A121" s="1613"/>
      <c r="B121" s="1613"/>
      <c r="C121" s="1613"/>
      <c r="D121" s="1613"/>
      <c r="E121" s="1613"/>
      <c r="F121" s="2262"/>
      <c r="G121" s="2262"/>
      <c r="H121" s="977"/>
      <c r="N121" s="4642"/>
      <c r="O121" s="4642"/>
      <c r="P121" s="4642"/>
      <c r="Q121" s="4642"/>
      <c r="R121" s="1992"/>
      <c r="T121" s="1992"/>
      <c r="U121" s="2262"/>
      <c r="V121" s="2262"/>
      <c r="W121" s="1992"/>
      <c r="X121" s="1992"/>
      <c r="Y121" s="1992"/>
      <c r="Z121" s="1992"/>
      <c r="AA121" s="2262"/>
      <c r="AB121" s="1992"/>
      <c r="AC121" s="1992"/>
      <c r="AD121" s="1170"/>
      <c r="AE121" s="1992"/>
      <c r="AF121" s="1992"/>
      <c r="AG121" s="1992"/>
      <c r="AH121" s="1992"/>
      <c r="AI121" s="1992"/>
      <c r="AJ121" s="2258"/>
      <c r="AK121" s="1248"/>
      <c r="AL121" s="1248"/>
      <c r="AM121" s="1248"/>
      <c r="AN121" s="1248"/>
      <c r="AO121" s="2267">
        <v>11</v>
      </c>
    </row>
    <row s="35197" customFormat="1" customHeight="1" ht="11.549999999999999">
      <c r="A122" s="1613"/>
      <c r="B122" s="1613"/>
      <c r="C122" s="1613"/>
      <c r="D122" s="1613"/>
      <c r="E122" s="1613"/>
      <c r="F122" s="2262"/>
      <c r="G122" s="2262"/>
      <c r="H122" s="977"/>
      <c r="N122" s="4642"/>
      <c r="O122" s="4642"/>
      <c r="P122" s="4642"/>
      <c r="Q122" s="4642"/>
      <c r="R122" s="1992"/>
      <c r="T122" s="1992"/>
      <c r="U122" s="2262"/>
      <c r="V122" s="2262"/>
      <c r="W122" s="1992"/>
      <c r="X122" s="1992"/>
      <c r="Y122" s="1992"/>
      <c r="Z122" s="1992"/>
      <c r="AA122" s="2262"/>
      <c r="AB122" s="1992"/>
      <c r="AC122" s="1992"/>
      <c r="AD122" s="1170"/>
      <c r="AE122" s="1992"/>
      <c r="AF122" s="1992"/>
      <c r="AG122" s="1992"/>
      <c r="AH122" s="1992"/>
      <c r="AI122" s="1992"/>
      <c r="AJ122" s="2258"/>
      <c r="AK122" s="1248"/>
      <c r="AL122" s="1248"/>
      <c r="AM122" s="1248"/>
      <c r="AN122" s="1248"/>
      <c r="AO122" s="2267">
        <v>11</v>
      </c>
    </row>
    <row s="35197" customFormat="1" customHeight="1" ht="11.549999999999999">
      <c r="A123" s="1613"/>
      <c r="B123" s="1613"/>
      <c r="C123" s="1613"/>
      <c r="D123" s="1613"/>
      <c r="E123" s="1613"/>
      <c r="F123" s="2262"/>
      <c r="G123" s="2262"/>
      <c r="H123" s="977"/>
      <c r="N123" s="4642"/>
      <c r="O123" s="4642"/>
      <c r="P123" s="4642"/>
      <c r="Q123" s="4642"/>
      <c r="R123" s="1992"/>
      <c r="T123" s="1992"/>
      <c r="U123" s="2262"/>
      <c r="V123" s="2262"/>
      <c r="W123" s="1992"/>
      <c r="X123" s="1992"/>
      <c r="Y123" s="1992"/>
      <c r="Z123" s="1992"/>
      <c r="AA123" s="2262"/>
      <c r="AB123" s="1992"/>
      <c r="AC123" s="1992"/>
      <c r="AD123" s="1170"/>
      <c r="AE123" s="1992"/>
      <c r="AF123" s="1992"/>
      <c r="AG123" s="1992"/>
      <c r="AH123" s="1992"/>
      <c r="AI123" s="1992"/>
      <c r="AJ123" s="2258"/>
      <c r="AK123" s="1248"/>
      <c r="AL123" s="1248"/>
      <c r="AM123" s="1248"/>
      <c r="AN123" s="1248"/>
      <c r="AO123" s="2267">
        <v>11</v>
      </c>
    </row>
    <row s="35197" customFormat="1" customHeight="1" ht="11.549999999999999">
      <c r="A124" s="1613"/>
      <c r="B124" s="1613"/>
      <c r="C124" s="1613"/>
      <c r="D124" s="1613"/>
      <c r="E124" s="1613"/>
      <c r="F124" s="2262"/>
      <c r="G124" s="2262"/>
      <c r="H124" s="977"/>
      <c r="N124" s="4642"/>
      <c r="O124" s="4642"/>
      <c r="P124" s="4642"/>
      <c r="Q124" s="4642"/>
      <c r="R124" s="1992"/>
      <c r="T124" s="1992"/>
      <c r="U124" s="2262"/>
      <c r="V124" s="2262"/>
      <c r="W124" s="1992"/>
      <c r="X124" s="1992"/>
      <c r="Y124" s="1992"/>
      <c r="Z124" s="1992"/>
      <c r="AA124" s="2262"/>
      <c r="AB124" s="1992"/>
      <c r="AC124" s="1992"/>
      <c r="AD124" s="1170"/>
      <c r="AE124" s="1992"/>
      <c r="AF124" s="1992"/>
      <c r="AG124" s="1992"/>
      <c r="AH124" s="1992"/>
      <c r="AI124" s="1992"/>
      <c r="AJ124" s="2258"/>
      <c r="AK124" s="1248"/>
      <c r="AL124" s="1248"/>
      <c r="AM124" s="1248"/>
      <c r="AN124" s="1248"/>
      <c r="AO124" s="2267">
        <v>11</v>
      </c>
    </row>
    <row s="35197" customFormat="1" customHeight="1" ht="11.549999999999999">
      <c r="A125" s="1613"/>
      <c r="B125" s="1613"/>
      <c r="C125" s="1613"/>
      <c r="D125" s="1613"/>
      <c r="E125" s="1613"/>
      <c r="F125" s="2262"/>
      <c r="G125" s="2262"/>
      <c r="H125" s="977"/>
      <c r="N125" s="4642"/>
      <c r="O125" s="4642"/>
      <c r="P125" s="4642"/>
      <c r="Q125" s="4642"/>
      <c r="R125" s="1992"/>
      <c r="T125" s="1992"/>
      <c r="U125" s="2262"/>
      <c r="V125" s="2262"/>
      <c r="W125" s="1992"/>
      <c r="X125" s="1992"/>
      <c r="Y125" s="1992"/>
      <c r="Z125" s="1992"/>
      <c r="AA125" s="2262"/>
      <c r="AB125" s="1992"/>
      <c r="AC125" s="1992"/>
      <c r="AD125" s="1170"/>
      <c r="AE125" s="1992"/>
      <c r="AF125" s="1992"/>
      <c r="AG125" s="1992"/>
      <c r="AH125" s="1992"/>
      <c r="AI125" s="1992"/>
      <c r="AJ125" s="2258"/>
      <c r="AK125" s="1248"/>
      <c r="AL125" s="1248"/>
      <c r="AM125" s="1248"/>
      <c r="AN125" s="1248"/>
      <c r="AO125" s="2267">
        <v>11</v>
      </c>
    </row>
    <row s="35197" customFormat="1" customHeight="1" ht="11.549999999999999">
      <c r="A126" s="1613"/>
      <c r="B126" s="1613"/>
      <c r="C126" s="1613"/>
      <c r="D126" s="1613"/>
      <c r="E126" s="1613"/>
      <c r="F126" s="2262"/>
      <c r="G126" s="2262"/>
      <c r="H126" s="977"/>
      <c r="N126" s="4642"/>
      <c r="O126" s="4642"/>
      <c r="P126" s="4642"/>
      <c r="Q126" s="4642"/>
      <c r="R126" s="1992"/>
      <c r="T126" s="1992"/>
      <c r="U126" s="2262"/>
      <c r="V126" s="2262"/>
      <c r="W126" s="1992"/>
      <c r="X126" s="1992"/>
      <c r="Y126" s="1992"/>
      <c r="Z126" s="1992"/>
      <c r="AA126" s="2262"/>
      <c r="AB126" s="1992"/>
      <c r="AC126" s="1992"/>
      <c r="AD126" s="1170"/>
      <c r="AE126" s="1992"/>
      <c r="AF126" s="1992"/>
      <c r="AG126" s="1992"/>
      <c r="AH126" s="1992"/>
      <c r="AI126" s="1992"/>
      <c r="AJ126" s="2258"/>
      <c r="AK126" s="1248"/>
      <c r="AL126" s="1248"/>
      <c r="AM126" s="1248"/>
      <c r="AN126" s="1248"/>
      <c r="AO126" s="2267">
        <v>11</v>
      </c>
    </row>
    <row s="35197" customFormat="1" customHeight="1" ht="11.549999999999999">
      <c r="A127" s="1613"/>
      <c r="B127" s="1613"/>
      <c r="C127" s="1613"/>
      <c r="D127" s="1613"/>
      <c r="E127" s="1613"/>
      <c r="F127" s="2262"/>
      <c r="G127" s="2262"/>
      <c r="H127" s="977"/>
      <c r="N127" s="4642"/>
      <c r="O127" s="4642"/>
      <c r="P127" s="4642"/>
      <c r="Q127" s="4642"/>
      <c r="R127" s="1992"/>
      <c r="T127" s="1992"/>
      <c r="U127" s="2262"/>
      <c r="V127" s="2262"/>
      <c r="W127" s="1992"/>
      <c r="X127" s="1992"/>
      <c r="Y127" s="1992"/>
      <c r="Z127" s="1992"/>
      <c r="AA127" s="2262"/>
      <c r="AB127" s="1992"/>
      <c r="AC127" s="1992"/>
      <c r="AD127" s="1170"/>
      <c r="AE127" s="1992"/>
      <c r="AF127" s="1992"/>
      <c r="AG127" s="1992"/>
      <c r="AH127" s="1992"/>
      <c r="AI127" s="1992"/>
      <c r="AJ127" s="2258"/>
      <c r="AK127" s="1248"/>
      <c r="AL127" s="1248"/>
      <c r="AM127" s="1248"/>
      <c r="AN127" s="1248"/>
      <c r="AO127" s="2267">
        <v>11</v>
      </c>
    </row>
    <row s="35197" customFormat="1" customHeight="1" ht="11.549999999999999">
      <c r="A128" s="1613"/>
      <c r="B128" s="1613"/>
      <c r="C128" s="1613"/>
      <c r="D128" s="1613"/>
      <c r="E128" s="1613"/>
      <c r="F128" s="2262"/>
      <c r="G128" s="2262"/>
      <c r="H128" s="977"/>
      <c r="N128" s="4642"/>
      <c r="O128" s="4642"/>
      <c r="P128" s="4642"/>
      <c r="Q128" s="4642"/>
      <c r="R128" s="1992"/>
      <c r="T128" s="1992"/>
      <c r="U128" s="2262"/>
      <c r="V128" s="2262"/>
      <c r="W128" s="1992"/>
      <c r="X128" s="1992"/>
      <c r="Y128" s="1992"/>
      <c r="Z128" s="1992"/>
      <c r="AA128" s="2262"/>
      <c r="AB128" s="1992"/>
      <c r="AC128" s="1992"/>
      <c r="AD128" s="1170"/>
      <c r="AE128" s="1992"/>
      <c r="AF128" s="1992"/>
      <c r="AG128" s="1992"/>
      <c r="AH128" s="1992"/>
      <c r="AI128" s="1992"/>
      <c r="AJ128" s="2258"/>
      <c r="AK128" s="1248"/>
      <c r="AL128" s="1248"/>
      <c r="AM128" s="1248"/>
      <c r="AN128" s="1248"/>
      <c r="AO128" s="2267">
        <v>11</v>
      </c>
    </row>
    <row s="35197" customFormat="1" customHeight="1" ht="11.549999999999999">
      <c r="A129" s="1613"/>
      <c r="B129" s="1613"/>
      <c r="C129" s="1613"/>
      <c r="D129" s="1613"/>
      <c r="E129" s="1613"/>
      <c r="F129" s="2262"/>
      <c r="G129" s="2262"/>
      <c r="H129" s="977"/>
      <c r="N129" s="4642"/>
      <c r="O129" s="4642"/>
      <c r="P129" s="4642"/>
      <c r="Q129" s="4642"/>
      <c r="R129" s="1992"/>
      <c r="T129" s="1992"/>
      <c r="U129" s="2262"/>
      <c r="V129" s="2262"/>
      <c r="W129" s="1992"/>
      <c r="X129" s="1992"/>
      <c r="Y129" s="1992"/>
      <c r="Z129" s="1992"/>
      <c r="AA129" s="2262"/>
      <c r="AB129" s="1992"/>
      <c r="AC129" s="1992"/>
      <c r="AD129" s="1170"/>
      <c r="AE129" s="1992"/>
      <c r="AF129" s="1992"/>
      <c r="AG129" s="1992"/>
      <c r="AH129" s="1992"/>
      <c r="AI129" s="1992"/>
      <c r="AJ129" s="2258"/>
      <c r="AK129" s="1248"/>
      <c r="AL129" s="1248"/>
      <c r="AM129" s="1248"/>
      <c r="AN129" s="1248"/>
      <c r="AO129" s="2267">
        <v>11</v>
      </c>
    </row>
    <row s="35197" customFormat="1" customHeight="1" ht="11.549999999999999">
      <c r="A130" s="1613"/>
      <c r="B130" s="1613"/>
      <c r="C130" s="1613"/>
      <c r="D130" s="1613"/>
      <c r="E130" s="1613"/>
      <c r="F130" s="2262"/>
      <c r="G130" s="2262"/>
      <c r="H130" s="977"/>
      <c r="N130" s="4642"/>
      <c r="O130" s="4642"/>
      <c r="P130" s="4642"/>
      <c r="Q130" s="4642"/>
      <c r="R130" s="1992"/>
      <c r="T130" s="1992"/>
      <c r="U130" s="2262"/>
      <c r="V130" s="2262"/>
      <c r="W130" s="1992"/>
      <c r="X130" s="1992"/>
      <c r="Y130" s="1992"/>
      <c r="Z130" s="1992"/>
      <c r="AA130" s="2262"/>
      <c r="AB130" s="1992"/>
      <c r="AC130" s="1992"/>
      <c r="AD130" s="1170"/>
      <c r="AE130" s="1992"/>
      <c r="AF130" s="1992"/>
      <c r="AG130" s="1992"/>
      <c r="AH130" s="1992"/>
      <c r="AI130" s="1992"/>
      <c r="AJ130" s="2258"/>
      <c r="AK130" s="1248"/>
      <c r="AL130" s="1248"/>
      <c r="AM130" s="1248"/>
      <c r="AN130" s="1248"/>
      <c r="AO130" s="2267">
        <v>11</v>
      </c>
    </row>
    <row s="35197" customFormat="1" customHeight="1" ht="11.549999999999999">
      <c r="A131" s="1613"/>
      <c r="B131" s="1613"/>
      <c r="C131" s="1613"/>
      <c r="D131" s="1613"/>
      <c r="E131" s="1613"/>
      <c r="F131" s="2262"/>
      <c r="G131" s="2262"/>
      <c r="H131" s="977"/>
      <c r="N131" s="4642"/>
      <c r="O131" s="4642"/>
      <c r="P131" s="4642"/>
      <c r="Q131" s="4642"/>
      <c r="R131" s="1992"/>
      <c r="T131" s="1992"/>
      <c r="U131" s="2262"/>
      <c r="V131" s="2262"/>
      <c r="W131" s="1992"/>
      <c r="X131" s="1992"/>
      <c r="Y131" s="1992"/>
      <c r="Z131" s="1992"/>
      <c r="AA131" s="2262"/>
      <c r="AB131" s="1992"/>
      <c r="AC131" s="1992"/>
      <c r="AD131" s="1170"/>
      <c r="AE131" s="1992"/>
      <c r="AF131" s="1992"/>
      <c r="AG131" s="1992"/>
      <c r="AH131" s="1992"/>
      <c r="AI131" s="1992"/>
      <c r="AJ131" s="2258"/>
      <c r="AK131" s="1248"/>
      <c r="AL131" s="1248"/>
      <c r="AM131" s="1248"/>
      <c r="AN131" s="1248"/>
      <c r="AO131" s="2267">
        <v>11</v>
      </c>
    </row>
    <row s="35197" customFormat="1" customHeight="1" ht="11.549999999999999">
      <c r="A132" s="1613"/>
      <c r="B132" s="1613"/>
      <c r="C132" s="1613"/>
      <c r="D132" s="1613"/>
      <c r="E132" s="1613"/>
      <c r="F132" s="2262"/>
      <c r="G132" s="2262"/>
      <c r="H132" s="977"/>
      <c r="N132" s="4642"/>
      <c r="O132" s="4642"/>
      <c r="P132" s="4642"/>
      <c r="Q132" s="4642"/>
      <c r="R132" s="1992"/>
      <c r="T132" s="1992"/>
      <c r="U132" s="2262"/>
      <c r="V132" s="2262"/>
      <c r="W132" s="1992"/>
      <c r="X132" s="1992"/>
      <c r="Y132" s="1992"/>
      <c r="Z132" s="1992"/>
      <c r="AA132" s="2262"/>
      <c r="AB132" s="1992"/>
      <c r="AC132" s="1992"/>
      <c r="AD132" s="1170"/>
      <c r="AE132" s="1992"/>
      <c r="AF132" s="1992"/>
      <c r="AG132" s="1992"/>
      <c r="AH132" s="1992"/>
      <c r="AI132" s="1992"/>
      <c r="AJ132" s="2258"/>
      <c r="AK132" s="1248"/>
      <c r="AL132" s="1248"/>
      <c r="AM132" s="1248"/>
      <c r="AN132" s="1248"/>
      <c r="AO132" s="2267">
        <v>11</v>
      </c>
    </row>
    <row s="35197" customFormat="1" customHeight="1" ht="11.549999999999999">
      <c r="A133" s="1613"/>
      <c r="B133" s="1613"/>
      <c r="C133" s="1613"/>
      <c r="D133" s="1613"/>
      <c r="E133" s="1613"/>
      <c r="F133" s="2262"/>
      <c r="G133" s="2262"/>
      <c r="H133" s="977"/>
      <c r="N133" s="4642"/>
      <c r="O133" s="4642"/>
      <c r="P133" s="4642"/>
      <c r="Q133" s="4642"/>
      <c r="R133" s="1992"/>
      <c r="T133" s="1992"/>
      <c r="U133" s="2262"/>
      <c r="V133" s="2262"/>
      <c r="W133" s="1992"/>
      <c r="X133" s="1992"/>
      <c r="Y133" s="1992"/>
      <c r="Z133" s="1992"/>
      <c r="AA133" s="2262"/>
      <c r="AB133" s="1992"/>
      <c r="AC133" s="1992"/>
      <c r="AD133" s="1170"/>
      <c r="AE133" s="1992"/>
      <c r="AF133" s="1992"/>
      <c r="AG133" s="1992"/>
      <c r="AH133" s="1992"/>
      <c r="AI133" s="1992"/>
      <c r="AJ133" s="2258"/>
      <c r="AK133" s="1248"/>
      <c r="AL133" s="1248"/>
      <c r="AM133" s="1248"/>
      <c r="AN133" s="1248"/>
      <c r="AO133" s="2267">
        <v>11</v>
      </c>
    </row>
    <row s="35197" customFormat="1" customHeight="1" ht="11.549999999999999">
      <c r="A134" s="1613"/>
      <c r="B134" s="1613"/>
      <c r="C134" s="1613"/>
      <c r="D134" s="1613"/>
      <c r="E134" s="1613"/>
      <c r="F134" s="2262"/>
      <c r="G134" s="2262"/>
      <c r="H134" s="977"/>
      <c r="N134" s="4642"/>
      <c r="O134" s="4642"/>
      <c r="P134" s="4642"/>
      <c r="Q134" s="4642"/>
      <c r="R134" s="1992"/>
      <c r="T134" s="1992"/>
      <c r="U134" s="2262"/>
      <c r="V134" s="2262"/>
      <c r="W134" s="1992"/>
      <c r="X134" s="1992"/>
      <c r="Y134" s="1992"/>
      <c r="Z134" s="1992"/>
      <c r="AA134" s="2262"/>
      <c r="AB134" s="1992"/>
      <c r="AC134" s="1992"/>
      <c r="AD134" s="1170"/>
      <c r="AE134" s="1992"/>
      <c r="AF134" s="1992"/>
      <c r="AG134" s="1992"/>
      <c r="AH134" s="1992"/>
      <c r="AI134" s="1992"/>
      <c r="AJ134" s="2258"/>
      <c r="AK134" s="1248"/>
      <c r="AL134" s="1248"/>
      <c r="AM134" s="1248"/>
      <c r="AN134" s="1248"/>
      <c r="AO134" s="2267">
        <v>11</v>
      </c>
    </row>
    <row s="35197" customFormat="1" customHeight="1" ht="11.549999999999999">
      <c r="A135" s="1613"/>
      <c r="B135" s="1613"/>
      <c r="C135" s="1613"/>
      <c r="D135" s="1613"/>
      <c r="E135" s="1613"/>
      <c r="F135" s="2262"/>
      <c r="G135" s="2262"/>
      <c r="H135" s="977"/>
      <c r="N135" s="4642"/>
      <c r="O135" s="4642"/>
      <c r="P135" s="4642"/>
      <c r="Q135" s="4642"/>
      <c r="R135" s="1992"/>
      <c r="T135" s="1992"/>
      <c r="U135" s="2262"/>
      <c r="V135" s="2262"/>
      <c r="W135" s="1992"/>
      <c r="X135" s="1992"/>
      <c r="Y135" s="1992"/>
      <c r="Z135" s="1992"/>
      <c r="AA135" s="2262"/>
      <c r="AB135" s="1992"/>
      <c r="AC135" s="1992"/>
      <c r="AD135" s="1170"/>
      <c r="AE135" s="1992"/>
      <c r="AF135" s="1992"/>
      <c r="AG135" s="1992"/>
      <c r="AH135" s="1992"/>
      <c r="AI135" s="1992"/>
      <c r="AJ135" s="2258"/>
      <c r="AK135" s="1248"/>
      <c r="AL135" s="1248"/>
      <c r="AM135" s="1248"/>
      <c r="AN135" s="1248"/>
      <c r="AO135" s="2267">
        <v>11</v>
      </c>
    </row>
    <row s="35197" customFormat="1" customHeight="1" ht="11.549999999999999">
      <c r="A136" s="1613"/>
      <c r="B136" s="1613"/>
      <c r="C136" s="1613"/>
      <c r="D136" s="1613"/>
      <c r="E136" s="1613"/>
      <c r="F136" s="2262"/>
      <c r="G136" s="2262"/>
      <c r="H136" s="977"/>
      <c r="N136" s="4642"/>
      <c r="O136" s="4642"/>
      <c r="P136" s="4642"/>
      <c r="Q136" s="4642"/>
      <c r="R136" s="1992"/>
      <c r="T136" s="1992"/>
      <c r="U136" s="2262"/>
      <c r="V136" s="2262"/>
      <c r="W136" s="1992"/>
      <c r="X136" s="1992"/>
      <c r="Y136" s="1992"/>
      <c r="Z136" s="1992"/>
      <c r="AA136" s="2262"/>
      <c r="AB136" s="1992"/>
      <c r="AC136" s="1992"/>
      <c r="AD136" s="1170"/>
      <c r="AE136" s="1992"/>
      <c r="AF136" s="1992"/>
      <c r="AG136" s="1992"/>
      <c r="AH136" s="1992"/>
      <c r="AI136" s="1992"/>
      <c r="AJ136" s="2258"/>
      <c r="AK136" s="1248"/>
      <c r="AL136" s="1248"/>
      <c r="AM136" s="1248"/>
      <c r="AN136" s="1248"/>
      <c r="AO136" s="2267">
        <v>11</v>
      </c>
    </row>
    <row s="35197" customFormat="1" customHeight="1" ht="11.549999999999999">
      <c r="A137" s="1613"/>
      <c r="B137" s="1613"/>
      <c r="C137" s="1613"/>
      <c r="D137" s="1613"/>
      <c r="E137" s="1613"/>
      <c r="F137" s="2262"/>
      <c r="G137" s="2262"/>
      <c r="H137" s="977"/>
      <c r="N137" s="4642"/>
      <c r="O137" s="4642"/>
      <c r="P137" s="4642"/>
      <c r="Q137" s="4642"/>
      <c r="R137" s="1992"/>
      <c r="T137" s="1992"/>
      <c r="U137" s="2262"/>
      <c r="V137" s="2262"/>
      <c r="W137" s="1992"/>
      <c r="X137" s="1992"/>
      <c r="Y137" s="1992"/>
      <c r="Z137" s="1992"/>
      <c r="AA137" s="2262"/>
      <c r="AB137" s="1992"/>
      <c r="AC137" s="1992"/>
      <c r="AD137" s="1170"/>
      <c r="AE137" s="1992"/>
      <c r="AF137" s="1992"/>
      <c r="AG137" s="1992"/>
      <c r="AH137" s="1992"/>
      <c r="AI137" s="1992"/>
      <c r="AJ137" s="2258"/>
      <c r="AK137" s="1248"/>
      <c r="AL137" s="1248"/>
      <c r="AM137" s="1248"/>
      <c r="AN137" s="1248"/>
      <c r="AO137" s="2267">
        <v>11</v>
      </c>
    </row>
    <row s="35197" customFormat="1" customHeight="1" ht="11.549999999999999">
      <c r="A138" s="1613"/>
      <c r="B138" s="1613"/>
      <c r="C138" s="1613"/>
      <c r="D138" s="1613"/>
      <c r="E138" s="1613"/>
      <c r="F138" s="2262"/>
      <c r="G138" s="2262"/>
      <c r="H138" s="977"/>
      <c r="N138" s="4642"/>
      <c r="O138" s="4642"/>
      <c r="P138" s="4642"/>
      <c r="Q138" s="4642"/>
      <c r="R138" s="1992"/>
      <c r="T138" s="1992"/>
      <c r="U138" s="2262"/>
      <c r="V138" s="2262"/>
      <c r="W138" s="1992"/>
      <c r="X138" s="1992"/>
      <c r="Y138" s="1992"/>
      <c r="Z138" s="1992"/>
      <c r="AA138" s="2262"/>
      <c r="AB138" s="1992"/>
      <c r="AC138" s="1992"/>
      <c r="AD138" s="1170"/>
      <c r="AE138" s="1992"/>
      <c r="AF138" s="1992"/>
      <c r="AG138" s="1992"/>
      <c r="AH138" s="1992"/>
      <c r="AI138" s="1992"/>
      <c r="AJ138" s="2258"/>
      <c r="AK138" s="1248"/>
      <c r="AL138" s="1248"/>
      <c r="AM138" s="1248"/>
      <c r="AN138" s="1248"/>
      <c r="AO138" s="2267">
        <v>11</v>
      </c>
    </row>
    <row s="35197" customFormat="1" customHeight="1" ht="11.549999999999999">
      <c r="A139" s="1613"/>
      <c r="B139" s="1613"/>
      <c r="C139" s="1613"/>
      <c r="D139" s="1613"/>
      <c r="E139" s="1613"/>
      <c r="F139" s="2262"/>
      <c r="G139" s="2262"/>
      <c r="H139" s="977"/>
      <c r="N139" s="4642"/>
      <c r="O139" s="4642"/>
      <c r="P139" s="4642"/>
      <c r="Q139" s="4642"/>
      <c r="R139" s="1992"/>
      <c r="T139" s="1992"/>
      <c r="U139" s="2262"/>
      <c r="V139" s="2262"/>
      <c r="W139" s="1992"/>
      <c r="X139" s="1992"/>
      <c r="Y139" s="1992"/>
      <c r="Z139" s="1992"/>
      <c r="AA139" s="2262"/>
      <c r="AB139" s="1992"/>
      <c r="AC139" s="1992"/>
      <c r="AD139" s="1170"/>
      <c r="AE139" s="1992"/>
      <c r="AF139" s="1992"/>
      <c r="AG139" s="1992"/>
      <c r="AH139" s="1992"/>
      <c r="AI139" s="1992"/>
      <c r="AJ139" s="2258"/>
      <c r="AK139" s="1248"/>
      <c r="AL139" s="1248"/>
      <c r="AM139" s="1248"/>
      <c r="AN139" s="1248"/>
      <c r="AO139" s="2267">
        <v>11</v>
      </c>
    </row>
    <row s="35197" customFormat="1" customHeight="1" ht="11.549999999999999">
      <c r="A140" s="1613"/>
      <c r="B140" s="1613"/>
      <c r="C140" s="1613"/>
      <c r="D140" s="1613"/>
      <c r="E140" s="1613"/>
      <c r="F140" s="2262"/>
      <c r="G140" s="2262"/>
      <c r="H140" s="977"/>
      <c r="N140" s="4642"/>
      <c r="O140" s="4642"/>
      <c r="P140" s="4642"/>
      <c r="Q140" s="4642"/>
      <c r="R140" s="1992"/>
      <c r="T140" s="1992"/>
      <c r="U140" s="2262"/>
      <c r="V140" s="2262"/>
      <c r="W140" s="1992"/>
      <c r="X140" s="1992"/>
      <c r="Y140" s="1992"/>
      <c r="Z140" s="1992"/>
      <c r="AA140" s="2262"/>
      <c r="AB140" s="1992"/>
      <c r="AC140" s="1992"/>
      <c r="AD140" s="1170"/>
      <c r="AE140" s="1992"/>
      <c r="AF140" s="1992"/>
      <c r="AG140" s="1992"/>
      <c r="AH140" s="1992"/>
      <c r="AI140" s="1992"/>
      <c r="AJ140" s="2258"/>
      <c r="AK140" s="1248"/>
      <c r="AL140" s="1248"/>
      <c r="AM140" s="1248"/>
      <c r="AN140" s="1248"/>
      <c r="AO140" s="2267">
        <v>11</v>
      </c>
    </row>
    <row s="35197" customFormat="1" customHeight="1" ht="11.549999999999999">
      <c r="A141" s="1613"/>
      <c r="B141" s="1613"/>
      <c r="C141" s="1613"/>
      <c r="D141" s="1613"/>
      <c r="E141" s="1613"/>
      <c r="F141" s="2262"/>
      <c r="G141" s="2262"/>
      <c r="H141" s="977"/>
      <c r="N141" s="4642"/>
      <c r="O141" s="4642"/>
      <c r="P141" s="4642"/>
      <c r="Q141" s="4642"/>
      <c r="R141" s="1992"/>
      <c r="T141" s="1992"/>
      <c r="U141" s="2262"/>
      <c r="V141" s="2262"/>
      <c r="W141" s="1992"/>
      <c r="X141" s="1992"/>
      <c r="Y141" s="1992"/>
      <c r="Z141" s="1992"/>
      <c r="AA141" s="2262"/>
      <c r="AB141" s="1992"/>
      <c r="AC141" s="1992"/>
      <c r="AD141" s="1170"/>
      <c r="AE141" s="1992"/>
      <c r="AF141" s="1992"/>
      <c r="AG141" s="1992"/>
      <c r="AH141" s="1992"/>
      <c r="AI141" s="1992"/>
      <c r="AJ141" s="2258"/>
      <c r="AK141" s="1248"/>
      <c r="AL141" s="1248"/>
      <c r="AM141" s="1248"/>
      <c r="AN141" s="1248"/>
      <c r="AO141" s="2267">
        <v>11</v>
      </c>
    </row>
    <row s="35197" customFormat="1" customHeight="1" ht="11.549999999999999">
      <c r="A142" s="1613"/>
      <c r="B142" s="1613"/>
      <c r="C142" s="1613"/>
      <c r="D142" s="1613"/>
      <c r="E142" s="1613"/>
      <c r="F142" s="2262"/>
      <c r="G142" s="2262"/>
      <c r="H142" s="977"/>
      <c r="N142" s="4642"/>
      <c r="O142" s="4642"/>
      <c r="P142" s="4642"/>
      <c r="Q142" s="4642"/>
      <c r="R142" s="1992"/>
      <c r="T142" s="1992"/>
      <c r="U142" s="2262"/>
      <c r="V142" s="2262"/>
      <c r="W142" s="1992"/>
      <c r="X142" s="1992"/>
      <c r="Y142" s="1992"/>
      <c r="Z142" s="1992"/>
      <c r="AA142" s="2262"/>
      <c r="AB142" s="1992"/>
      <c r="AC142" s="1992"/>
      <c r="AD142" s="1170"/>
      <c r="AE142" s="1992"/>
      <c r="AF142" s="1992"/>
      <c r="AG142" s="1992"/>
      <c r="AH142" s="1992"/>
      <c r="AI142" s="1992"/>
      <c r="AJ142" s="2258"/>
      <c r="AK142" s="1248"/>
      <c r="AL142" s="1248"/>
      <c r="AM142" s="1248"/>
      <c r="AN142" s="1248"/>
      <c r="AO142" s="2267">
        <v>11</v>
      </c>
    </row>
    <row s="35197" customFormat="1" customHeight="1" ht="11.549999999999999">
      <c r="A143" s="1613"/>
      <c r="B143" s="1613"/>
      <c r="C143" s="1613"/>
      <c r="D143" s="1613"/>
      <c r="E143" s="1613"/>
      <c r="F143" s="2262"/>
      <c r="G143" s="2262"/>
      <c r="H143" s="977"/>
      <c r="N143" s="4642"/>
      <c r="O143" s="4642"/>
      <c r="P143" s="4642"/>
      <c r="Q143" s="4642"/>
      <c r="R143" s="1992"/>
      <c r="T143" s="1992"/>
      <c r="U143" s="2262"/>
      <c r="V143" s="2262"/>
      <c r="W143" s="1992"/>
      <c r="X143" s="1992"/>
      <c r="Y143" s="1992"/>
      <c r="Z143" s="1992"/>
      <c r="AA143" s="2262"/>
      <c r="AB143" s="1992"/>
      <c r="AC143" s="1992"/>
      <c r="AD143" s="1170"/>
      <c r="AE143" s="1992"/>
      <c r="AF143" s="1992"/>
      <c r="AG143" s="1992"/>
      <c r="AH143" s="1992"/>
      <c r="AI143" s="1992"/>
      <c r="AJ143" s="2258"/>
      <c r="AK143" s="1248"/>
      <c r="AL143" s="1248"/>
      <c r="AM143" s="1248"/>
      <c r="AN143" s="1248"/>
      <c r="AO143" s="2267">
        <v>11</v>
      </c>
    </row>
    <row s="35197" customFormat="1" customHeight="1" ht="11.549999999999999">
      <c r="A144" s="1613"/>
      <c r="B144" s="1613"/>
      <c r="C144" s="1613"/>
      <c r="D144" s="1613"/>
      <c r="E144" s="1613"/>
      <c r="F144" s="2262"/>
      <c r="G144" s="2262"/>
      <c r="H144" s="977"/>
      <c r="N144" s="4642"/>
      <c r="O144" s="4642"/>
      <c r="P144" s="4642"/>
      <c r="Q144" s="4642"/>
      <c r="R144" s="1992"/>
      <c r="T144" s="1992"/>
      <c r="U144" s="2262"/>
      <c r="V144" s="2262"/>
      <c r="W144" s="1992"/>
      <c r="X144" s="1992"/>
      <c r="Y144" s="1992"/>
      <c r="Z144" s="1992"/>
      <c r="AA144" s="2262"/>
      <c r="AB144" s="1992"/>
      <c r="AC144" s="1992"/>
      <c r="AD144" s="1170"/>
      <c r="AE144" s="1992"/>
      <c r="AF144" s="1992"/>
      <c r="AG144" s="1992"/>
      <c r="AH144" s="1992"/>
      <c r="AI144" s="1992"/>
      <c r="AJ144" s="2258"/>
      <c r="AK144" s="1248"/>
      <c r="AL144" s="1248"/>
      <c r="AM144" s="1248"/>
      <c r="AN144" s="1248"/>
      <c r="AO144" s="2267">
        <v>11</v>
      </c>
    </row>
    <row s="35197" customFormat="1" customHeight="1" ht="11.549999999999999">
      <c r="A145" s="1613"/>
      <c r="B145" s="1613"/>
      <c r="C145" s="1613"/>
      <c r="D145" s="1613"/>
      <c r="E145" s="1613"/>
      <c r="F145" s="2262"/>
      <c r="G145" s="2262"/>
      <c r="H145" s="977"/>
      <c r="N145" s="4642"/>
      <c r="O145" s="4642"/>
      <c r="P145" s="4642"/>
      <c r="Q145" s="4642"/>
      <c r="R145" s="1992"/>
      <c r="T145" s="1992"/>
      <c r="U145" s="2262"/>
      <c r="V145" s="2262"/>
      <c r="W145" s="1992"/>
      <c r="X145" s="1992"/>
      <c r="Y145" s="1992"/>
      <c r="Z145" s="1992"/>
      <c r="AA145" s="2262"/>
      <c r="AB145" s="1992"/>
      <c r="AC145" s="1992"/>
      <c r="AD145" s="1170"/>
      <c r="AE145" s="1992"/>
      <c r="AF145" s="1992"/>
      <c r="AG145" s="1992"/>
      <c r="AH145" s="1992"/>
      <c r="AI145" s="1992"/>
      <c r="AJ145" s="2258"/>
      <c r="AK145" s="1248"/>
      <c r="AL145" s="1248"/>
      <c r="AM145" s="1248"/>
      <c r="AN145" s="1248"/>
      <c r="AO145" s="2267">
        <v>11</v>
      </c>
    </row>
    <row s="35197" customFormat="1" customHeight="1" ht="11.549999999999999">
      <c r="A146" s="1613"/>
      <c r="B146" s="1613"/>
      <c r="C146" s="1613"/>
      <c r="D146" s="1613"/>
      <c r="E146" s="1613"/>
      <c r="F146" s="2262"/>
      <c r="G146" s="2262"/>
      <c r="H146" s="977"/>
      <c r="N146" s="4642"/>
      <c r="O146" s="4642"/>
      <c r="P146" s="4642"/>
      <c r="Q146" s="4642"/>
      <c r="R146" s="1992"/>
      <c r="T146" s="1992"/>
      <c r="U146" s="2262"/>
      <c r="V146" s="2262"/>
      <c r="W146" s="1992"/>
      <c r="X146" s="1992"/>
      <c r="Y146" s="1992"/>
      <c r="Z146" s="1992"/>
      <c r="AA146" s="2262"/>
      <c r="AB146" s="1992"/>
      <c r="AC146" s="1992"/>
      <c r="AD146" s="1170"/>
      <c r="AE146" s="1992"/>
      <c r="AF146" s="1992"/>
      <c r="AG146" s="1992"/>
      <c r="AH146" s="1992"/>
      <c r="AI146" s="1992"/>
      <c r="AJ146" s="2258"/>
      <c r="AK146" s="1248"/>
      <c r="AL146" s="1248"/>
      <c r="AM146" s="1248"/>
      <c r="AN146" s="1248"/>
      <c r="AO146" s="2267">
        <v>11</v>
      </c>
    </row>
    <row s="35197" customFormat="1" customHeight="1" ht="11.549999999999999">
      <c r="A147" s="1613"/>
      <c r="B147" s="1613"/>
      <c r="C147" s="1613"/>
      <c r="D147" s="1613"/>
      <c r="E147" s="1613"/>
      <c r="F147" s="2262"/>
      <c r="G147" s="2262"/>
      <c r="H147" s="977"/>
      <c r="N147" s="4642"/>
      <c r="O147" s="4642"/>
      <c r="P147" s="4642"/>
      <c r="Q147" s="4642"/>
      <c r="R147" s="1992"/>
      <c r="T147" s="1992"/>
      <c r="U147" s="2262"/>
      <c r="V147" s="2262"/>
      <c r="W147" s="1992"/>
      <c r="X147" s="1992"/>
      <c r="Y147" s="1992"/>
      <c r="Z147" s="1992"/>
      <c r="AA147" s="2262"/>
      <c r="AB147" s="1992"/>
      <c r="AC147" s="1992"/>
      <c r="AD147" s="1170"/>
      <c r="AE147" s="1992"/>
      <c r="AF147" s="1992"/>
      <c r="AG147" s="1992"/>
      <c r="AH147" s="1992"/>
      <c r="AI147" s="1992"/>
      <c r="AJ147" s="2258"/>
      <c r="AK147" s="1248"/>
      <c r="AL147" s="1248"/>
      <c r="AM147" s="1248"/>
      <c r="AN147" s="1248"/>
      <c r="AO147" s="2267">
        <v>11</v>
      </c>
    </row>
    <row s="35197" customFormat="1" customHeight="1" ht="11.549999999999999">
      <c r="A148" s="1613"/>
      <c r="B148" s="1613"/>
      <c r="C148" s="1613"/>
      <c r="D148" s="1613"/>
      <c r="E148" s="1613"/>
      <c r="F148" s="2262"/>
      <c r="G148" s="2262"/>
      <c r="H148" s="977"/>
      <c r="N148" s="4642"/>
      <c r="O148" s="4642"/>
      <c r="P148" s="4642"/>
      <c r="Q148" s="4642"/>
      <c r="R148" s="1992"/>
      <c r="T148" s="1992"/>
      <c r="U148" s="2262"/>
      <c r="V148" s="2262"/>
      <c r="W148" s="1992"/>
      <c r="X148" s="1992"/>
      <c r="Y148" s="1992"/>
      <c r="Z148" s="1992"/>
      <c r="AA148" s="2262"/>
      <c r="AB148" s="1992"/>
      <c r="AC148" s="1992"/>
      <c r="AD148" s="1170"/>
      <c r="AE148" s="1992"/>
      <c r="AF148" s="1992"/>
      <c r="AG148" s="1992"/>
      <c r="AH148" s="1992"/>
      <c r="AI148" s="1992"/>
      <c r="AJ148" s="2258"/>
      <c r="AK148" s="1248"/>
      <c r="AL148" s="1248"/>
      <c r="AM148" s="1248"/>
      <c r="AN148" s="1248"/>
      <c r="AO148" s="2267">
        <v>11</v>
      </c>
    </row>
    <row s="35197" customFormat="1" customHeight="1" ht="11.549999999999999">
      <c r="A149" s="1613"/>
      <c r="B149" s="1613"/>
      <c r="C149" s="1613"/>
      <c r="D149" s="1613"/>
      <c r="E149" s="1613"/>
      <c r="F149" s="2262"/>
      <c r="G149" s="2262"/>
      <c r="H149" s="977"/>
      <c r="N149" s="4642"/>
      <c r="O149" s="4642"/>
      <c r="P149" s="4642"/>
      <c r="Q149" s="4642"/>
      <c r="R149" s="1992"/>
      <c r="T149" s="1992"/>
      <c r="U149" s="2262"/>
      <c r="V149" s="2262"/>
      <c r="W149" s="1992"/>
      <c r="X149" s="1992"/>
      <c r="Y149" s="1992"/>
      <c r="Z149" s="1992"/>
      <c r="AA149" s="2262"/>
      <c r="AB149" s="1992"/>
      <c r="AC149" s="1992"/>
      <c r="AD149" s="1170"/>
      <c r="AE149" s="1992"/>
      <c r="AF149" s="1992"/>
      <c r="AG149" s="1992"/>
      <c r="AH149" s="1992"/>
      <c r="AI149" s="1992"/>
      <c r="AJ149" s="2258"/>
      <c r="AK149" s="1248"/>
      <c r="AL149" s="1248"/>
      <c r="AM149" s="1248"/>
      <c r="AN149" s="1248"/>
      <c r="AO149" s="2267">
        <v>11</v>
      </c>
    </row>
    <row s="35197" customFormat="1" customHeight="1" ht="11.549999999999999">
      <c r="A150" s="1613"/>
      <c r="B150" s="1613"/>
      <c r="C150" s="1613"/>
      <c r="D150" s="1613"/>
      <c r="E150" s="1613"/>
      <c r="F150" s="2262"/>
      <c r="G150" s="2262"/>
      <c r="H150" s="977"/>
      <c r="N150" s="4642"/>
      <c r="O150" s="4642"/>
      <c r="P150" s="4642"/>
      <c r="Q150" s="4642"/>
      <c r="R150" s="1992"/>
      <c r="T150" s="1992"/>
      <c r="U150" s="2262"/>
      <c r="V150" s="2262"/>
      <c r="W150" s="1992"/>
      <c r="X150" s="1992"/>
      <c r="Y150" s="1992"/>
      <c r="Z150" s="1992"/>
      <c r="AA150" s="2262"/>
      <c r="AB150" s="1992"/>
      <c r="AC150" s="1992"/>
      <c r="AD150" s="1170"/>
      <c r="AE150" s="1992"/>
      <c r="AF150" s="1992"/>
      <c r="AG150" s="1992"/>
      <c r="AH150" s="1992"/>
      <c r="AI150" s="1992"/>
      <c r="AJ150" s="2258"/>
      <c r="AK150" s="1248"/>
      <c r="AL150" s="1248"/>
      <c r="AM150" s="1248"/>
      <c r="AN150" s="1248"/>
      <c r="AO150" s="2267">
        <v>11</v>
      </c>
    </row>
    <row s="35197" customFormat="1" customHeight="1" ht="11.549999999999999">
      <c r="A151" s="1613"/>
      <c r="B151" s="1613"/>
      <c r="C151" s="1613"/>
      <c r="D151" s="1613"/>
      <c r="E151" s="1613"/>
      <c r="F151" s="2262"/>
      <c r="G151" s="2262"/>
      <c r="H151" s="977"/>
      <c r="N151" s="4642"/>
      <c r="O151" s="4642"/>
      <c r="P151" s="4642"/>
      <c r="Q151" s="4642"/>
      <c r="R151" s="1992"/>
      <c r="T151" s="1992"/>
      <c r="U151" s="2262"/>
      <c r="V151" s="2262"/>
      <c r="W151" s="1992"/>
      <c r="X151" s="1992"/>
      <c r="Y151" s="1992"/>
      <c r="Z151" s="1992"/>
      <c r="AA151" s="2262"/>
      <c r="AB151" s="1992"/>
      <c r="AC151" s="1992"/>
      <c r="AD151" s="1170"/>
      <c r="AE151" s="1992"/>
      <c r="AF151" s="1992"/>
      <c r="AG151" s="1992"/>
      <c r="AH151" s="1992"/>
      <c r="AI151" s="1992"/>
      <c r="AJ151" s="2258"/>
      <c r="AK151" s="1248"/>
      <c r="AL151" s="1248"/>
      <c r="AM151" s="1248"/>
      <c r="AN151" s="1248"/>
      <c r="AO151" s="2267">
        <v>11</v>
      </c>
    </row>
    <row s="35197" customFormat="1" customHeight="1" ht="11.549999999999999">
      <c r="A152" s="1613"/>
      <c r="B152" s="1613"/>
      <c r="C152" s="1613"/>
      <c r="D152" s="1613"/>
      <c r="E152" s="1613"/>
      <c r="F152" s="2262"/>
      <c r="G152" s="2262"/>
      <c r="H152" s="977"/>
      <c r="N152" s="4642"/>
      <c r="O152" s="4642"/>
      <c r="P152" s="4642"/>
      <c r="Q152" s="4642"/>
      <c r="R152" s="1992"/>
      <c r="T152" s="1992"/>
      <c r="U152" s="2262"/>
      <c r="V152" s="2262"/>
      <c r="W152" s="1992"/>
      <c r="X152" s="1992"/>
      <c r="Y152" s="1992"/>
      <c r="Z152" s="1992"/>
      <c r="AA152" s="2262"/>
      <c r="AB152" s="1992"/>
      <c r="AC152" s="1992"/>
      <c r="AD152" s="1170"/>
      <c r="AE152" s="1992"/>
      <c r="AF152" s="1992"/>
      <c r="AG152" s="1992"/>
      <c r="AH152" s="1992"/>
      <c r="AI152" s="1992"/>
      <c r="AJ152" s="2258"/>
      <c r="AK152" s="1248"/>
      <c r="AL152" s="1248"/>
      <c r="AM152" s="1248"/>
      <c r="AN152" s="1248"/>
      <c r="AO152" s="2267">
        <v>11</v>
      </c>
    </row>
    <row s="35197" customFormat="1" customHeight="1" ht="11.549999999999999">
      <c r="A153" s="1613"/>
      <c r="B153" s="1613"/>
      <c r="C153" s="1613"/>
      <c r="D153" s="1613"/>
      <c r="E153" s="1613"/>
      <c r="F153" s="2262"/>
      <c r="G153" s="2262"/>
      <c r="H153" s="977"/>
      <c r="N153" s="4642"/>
      <c r="O153" s="4642"/>
      <c r="P153" s="4642"/>
      <c r="Q153" s="4642"/>
      <c r="R153" s="1992"/>
      <c r="T153" s="1992"/>
      <c r="U153" s="2262"/>
      <c r="V153" s="2262"/>
      <c r="W153" s="1992"/>
      <c r="X153" s="1992"/>
      <c r="Y153" s="1992"/>
      <c r="Z153" s="1992"/>
      <c r="AA153" s="2262"/>
      <c r="AB153" s="1992"/>
      <c r="AC153" s="1992"/>
      <c r="AD153" s="1170"/>
      <c r="AE153" s="1992"/>
      <c r="AF153" s="1992"/>
      <c r="AG153" s="1992"/>
      <c r="AH153" s="1992"/>
      <c r="AI153" s="1992"/>
      <c r="AJ153" s="2258"/>
      <c r="AK153" s="1248"/>
      <c r="AL153" s="1248"/>
      <c r="AM153" s="1248"/>
      <c r="AN153" s="1248"/>
      <c r="AO153" s="2267">
        <v>11</v>
      </c>
    </row>
    <row s="35197" customFormat="1" customHeight="1" ht="11.549999999999999">
      <c r="A154" s="1613"/>
      <c r="B154" s="1613"/>
      <c r="C154" s="1613"/>
      <c r="D154" s="1613"/>
      <c r="E154" s="1613"/>
      <c r="F154" s="2262"/>
      <c r="G154" s="2262"/>
      <c r="H154" s="977"/>
      <c r="N154" s="4642"/>
      <c r="O154" s="4642"/>
      <c r="P154" s="4642"/>
      <c r="Q154" s="4642"/>
      <c r="R154" s="1992"/>
      <c r="T154" s="1992"/>
      <c r="U154" s="2262"/>
      <c r="V154" s="2262"/>
      <c r="W154" s="1992"/>
      <c r="X154" s="1992"/>
      <c r="Y154" s="1992"/>
      <c r="Z154" s="1992"/>
      <c r="AA154" s="2262"/>
      <c r="AB154" s="1992"/>
      <c r="AC154" s="1992"/>
      <c r="AD154" s="1170"/>
      <c r="AE154" s="1992"/>
      <c r="AF154" s="1992"/>
      <c r="AG154" s="1992"/>
      <c r="AH154" s="1992"/>
      <c r="AI154" s="1992"/>
      <c r="AJ154" s="2258"/>
      <c r="AK154" s="1248"/>
      <c r="AL154" s="1248"/>
      <c r="AM154" s="1248"/>
      <c r="AN154" s="1248"/>
      <c r="AO154" s="2267">
        <v>11</v>
      </c>
    </row>
    <row s="35197" customFormat="1" customHeight="1" ht="11.549999999999999">
      <c r="A155" s="1613"/>
      <c r="B155" s="1613"/>
      <c r="C155" s="1613"/>
      <c r="D155" s="1613"/>
      <c r="E155" s="1613"/>
      <c r="F155" s="2262"/>
      <c r="G155" s="2262"/>
      <c r="H155" s="977"/>
      <c r="N155" s="4642"/>
      <c r="O155" s="4642"/>
      <c r="P155" s="4642"/>
      <c r="Q155" s="4642"/>
      <c r="R155" s="1992"/>
      <c r="T155" s="1992"/>
      <c r="U155" s="2262"/>
      <c r="V155" s="2262"/>
      <c r="W155" s="1992"/>
      <c r="X155" s="1992"/>
      <c r="Y155" s="1992"/>
      <c r="Z155" s="1992"/>
      <c r="AA155" s="2262"/>
      <c r="AB155" s="1992"/>
      <c r="AC155" s="1992"/>
      <c r="AD155" s="1170"/>
      <c r="AE155" s="1992"/>
      <c r="AF155" s="1992"/>
      <c r="AG155" s="1992"/>
      <c r="AH155" s="1992"/>
      <c r="AI155" s="1992"/>
      <c r="AJ155" s="2258"/>
      <c r="AK155" s="1248"/>
      <c r="AL155" s="1248"/>
      <c r="AM155" s="1248"/>
      <c r="AN155" s="1248"/>
      <c r="AO155" s="2267">
        <v>11</v>
      </c>
    </row>
    <row s="35197" customFormat="1" customHeight="1" ht="11.549999999999999">
      <c r="A156" s="1613"/>
      <c r="B156" s="1613"/>
      <c r="C156" s="1613"/>
      <c r="D156" s="1613"/>
      <c r="E156" s="1613"/>
      <c r="F156" s="2262"/>
      <c r="G156" s="2262"/>
      <c r="H156" s="977"/>
      <c r="N156" s="4642"/>
      <c r="O156" s="4642"/>
      <c r="P156" s="4642"/>
      <c r="Q156" s="4642"/>
      <c r="R156" s="1992"/>
      <c r="T156" s="1992"/>
      <c r="U156" s="2262"/>
      <c r="V156" s="2262"/>
      <c r="W156" s="1992"/>
      <c r="X156" s="1992"/>
      <c r="Y156" s="1992"/>
      <c r="Z156" s="1992"/>
      <c r="AA156" s="2262"/>
      <c r="AB156" s="1992"/>
      <c r="AC156" s="1992"/>
      <c r="AD156" s="1170"/>
      <c r="AE156" s="1992"/>
      <c r="AF156" s="1992"/>
      <c r="AG156" s="1992"/>
      <c r="AH156" s="1992"/>
      <c r="AI156" s="1992"/>
      <c r="AJ156" s="2258"/>
      <c r="AK156" s="1248"/>
      <c r="AL156" s="1248"/>
      <c r="AM156" s="1248"/>
      <c r="AN156" s="1248"/>
      <c r="AO156" s="2267">
        <v>11</v>
      </c>
    </row>
    <row s="35197" customFormat="1" customHeight="1" ht="11.549999999999999">
      <c r="A157" s="1613"/>
      <c r="B157" s="1613"/>
      <c r="C157" s="1613"/>
      <c r="D157" s="1613"/>
      <c r="E157" s="1613"/>
      <c r="F157" s="2262"/>
      <c r="G157" s="2262"/>
      <c r="H157" s="977"/>
      <c r="N157" s="4642"/>
      <c r="O157" s="4642"/>
      <c r="P157" s="4642"/>
      <c r="Q157" s="4642"/>
      <c r="R157" s="1992"/>
      <c r="T157" s="1992"/>
      <c r="U157" s="2262"/>
      <c r="V157" s="2262"/>
      <c r="W157" s="1992"/>
      <c r="X157" s="1992"/>
      <c r="Y157" s="1992"/>
      <c r="Z157" s="1992"/>
      <c r="AA157" s="2262"/>
      <c r="AB157" s="1992"/>
      <c r="AC157" s="1992"/>
      <c r="AD157" s="1170"/>
      <c r="AE157" s="1992"/>
      <c r="AF157" s="1992"/>
      <c r="AG157" s="1992"/>
      <c r="AH157" s="1992"/>
      <c r="AI157" s="1992"/>
      <c r="AJ157" s="2258"/>
      <c r="AK157" s="1248"/>
      <c r="AL157" s="1248"/>
      <c r="AM157" s="1248"/>
      <c r="AN157" s="1248"/>
      <c r="AO157" s="2267">
        <v>11</v>
      </c>
    </row>
    <row s="35197" customFormat="1" customHeight="1" ht="11.549999999999999">
      <c r="A158" s="1613"/>
      <c r="B158" s="1613"/>
      <c r="C158" s="1613"/>
      <c r="D158" s="1613"/>
      <c r="E158" s="1613"/>
      <c r="F158" s="2262"/>
      <c r="G158" s="2262"/>
      <c r="H158" s="977"/>
      <c r="N158" s="4642"/>
      <c r="O158" s="4642"/>
      <c r="P158" s="4642"/>
      <c r="Q158" s="4642"/>
      <c r="R158" s="1992"/>
      <c r="T158" s="1992"/>
      <c r="U158" s="2262"/>
      <c r="V158" s="2262"/>
      <c r="W158" s="1992"/>
      <c r="X158" s="1992"/>
      <c r="Y158" s="1992"/>
      <c r="Z158" s="1992"/>
      <c r="AA158" s="2262"/>
      <c r="AB158" s="1992"/>
      <c r="AC158" s="1992"/>
      <c r="AD158" s="1170"/>
      <c r="AE158" s="1992"/>
      <c r="AF158" s="1992"/>
      <c r="AG158" s="1992"/>
      <c r="AH158" s="1992"/>
      <c r="AI158" s="1992"/>
      <c r="AJ158" s="2258"/>
      <c r="AK158" s="1248"/>
      <c r="AL158" s="1248"/>
      <c r="AM158" s="1248"/>
      <c r="AN158" s="1248"/>
      <c r="AO158" s="2267">
        <v>11</v>
      </c>
    </row>
    <row s="35197" customFormat="1" customHeight="1" ht="11.549999999999999">
      <c r="A159" s="1613"/>
      <c r="B159" s="1613"/>
      <c r="C159" s="1613"/>
      <c r="D159" s="1613"/>
      <c r="E159" s="1613"/>
      <c r="F159" s="2262"/>
      <c r="G159" s="2262"/>
      <c r="H159" s="977"/>
      <c r="N159" s="4642"/>
      <c r="O159" s="4642"/>
      <c r="P159" s="4642"/>
      <c r="Q159" s="4642"/>
      <c r="R159" s="1992"/>
      <c r="T159" s="1992"/>
      <c r="U159" s="2262"/>
      <c r="V159" s="2262"/>
      <c r="W159" s="1992"/>
      <c r="X159" s="1992"/>
      <c r="Y159" s="1992"/>
      <c r="Z159" s="1992"/>
      <c r="AA159" s="2262"/>
      <c r="AB159" s="1992"/>
      <c r="AC159" s="1992"/>
      <c r="AD159" s="1170"/>
      <c r="AE159" s="1992"/>
      <c r="AF159" s="1992"/>
      <c r="AG159" s="1992"/>
      <c r="AH159" s="1992"/>
      <c r="AI159" s="1992"/>
      <c r="AJ159" s="2258"/>
      <c r="AK159" s="1248"/>
      <c r="AL159" s="1248"/>
      <c r="AM159" s="1248"/>
      <c r="AN159" s="1248"/>
      <c r="AO159" s="2267">
        <v>11</v>
      </c>
    </row>
    <row s="35197" customFormat="1" customHeight="1" ht="11.549999999999999">
      <c r="A160" s="1613"/>
      <c r="B160" s="1613"/>
      <c r="C160" s="1613"/>
      <c r="D160" s="1613"/>
      <c r="E160" s="1613"/>
      <c r="F160" s="2262"/>
      <c r="G160" s="2262"/>
      <c r="H160" s="977"/>
      <c r="N160" s="4642"/>
      <c r="O160" s="4642"/>
      <c r="P160" s="4642"/>
      <c r="Q160" s="4642"/>
      <c r="R160" s="1992"/>
      <c r="T160" s="1992"/>
      <c r="U160" s="2262"/>
      <c r="V160" s="2262"/>
      <c r="W160" s="1992"/>
      <c r="X160" s="1992"/>
      <c r="Y160" s="1992"/>
      <c r="Z160" s="1992"/>
      <c r="AA160" s="2262"/>
      <c r="AB160" s="1992"/>
      <c r="AC160" s="1992"/>
      <c r="AD160" s="1170"/>
      <c r="AE160" s="1992"/>
      <c r="AF160" s="1992"/>
      <c r="AG160" s="1992"/>
      <c r="AH160" s="1992"/>
      <c r="AI160" s="1992"/>
      <c r="AJ160" s="2258"/>
      <c r="AK160" s="1248"/>
      <c r="AL160" s="1248"/>
      <c r="AM160" s="1248"/>
      <c r="AN160" s="1248"/>
      <c r="AO160" s="2267">
        <v>11</v>
      </c>
    </row>
    <row s="35197" customFormat="1" customHeight="1" ht="11.549999999999999">
      <c r="A161" s="1613"/>
      <c r="B161" s="1613"/>
      <c r="C161" s="1613"/>
      <c r="D161" s="1613"/>
      <c r="E161" s="1613"/>
      <c r="F161" s="2262"/>
      <c r="G161" s="2262"/>
      <c r="H161" s="977"/>
      <c r="N161" s="4642"/>
      <c r="O161" s="4642"/>
      <c r="P161" s="4642"/>
      <c r="Q161" s="4642"/>
      <c r="R161" s="1992"/>
      <c r="T161" s="1992"/>
      <c r="U161" s="2262"/>
      <c r="V161" s="2262"/>
      <c r="W161" s="1992"/>
      <c r="X161" s="1992"/>
      <c r="Y161" s="1992"/>
      <c r="Z161" s="1992"/>
      <c r="AA161" s="2262"/>
      <c r="AB161" s="1992"/>
      <c r="AC161" s="1992"/>
      <c r="AD161" s="1170"/>
      <c r="AE161" s="1992"/>
      <c r="AF161" s="1992"/>
      <c r="AG161" s="1992"/>
      <c r="AH161" s="1992"/>
      <c r="AI161" s="1992"/>
      <c r="AJ161" s="2258"/>
      <c r="AK161" s="1248"/>
      <c r="AL161" s="1248"/>
      <c r="AM161" s="1248"/>
      <c r="AN161" s="1248"/>
      <c r="AO161" s="2267">
        <v>11</v>
      </c>
    </row>
    <row s="35197" customFormat="1" customHeight="1" ht="11.549999999999999">
      <c r="A162" s="1613"/>
      <c r="B162" s="1613"/>
      <c r="C162" s="1613"/>
      <c r="D162" s="1613"/>
      <c r="E162" s="1613"/>
      <c r="F162" s="2262"/>
      <c r="G162" s="2262"/>
      <c r="H162" s="977"/>
      <c r="N162" s="4642"/>
      <c r="O162" s="4642"/>
      <c r="P162" s="4642"/>
      <c r="Q162" s="4642"/>
      <c r="R162" s="1992"/>
      <c r="T162" s="1992"/>
      <c r="U162" s="2262"/>
      <c r="V162" s="2262"/>
      <c r="W162" s="1992"/>
      <c r="X162" s="1992"/>
      <c r="Y162" s="1992"/>
      <c r="Z162" s="1992"/>
      <c r="AA162" s="2262"/>
      <c r="AB162" s="1992"/>
      <c r="AC162" s="1992"/>
      <c r="AD162" s="1170"/>
      <c r="AE162" s="1992"/>
      <c r="AF162" s="1992"/>
      <c r="AG162" s="1992"/>
      <c r="AH162" s="1992"/>
      <c r="AI162" s="1992"/>
      <c r="AJ162" s="2258"/>
      <c r="AK162" s="1248"/>
      <c r="AL162" s="1248"/>
      <c r="AM162" s="1248"/>
      <c r="AN162" s="1248"/>
      <c r="AO162" s="2267">
        <v>11</v>
      </c>
    </row>
    <row s="35197" customFormat="1" customHeight="1" ht="11.549999999999999">
      <c r="A163" s="1613"/>
      <c r="B163" s="1613"/>
      <c r="C163" s="1613"/>
      <c r="D163" s="1613"/>
      <c r="E163" s="1613"/>
      <c r="F163" s="2262"/>
      <c r="G163" s="2262"/>
      <c r="H163" s="977"/>
      <c r="N163" s="4642"/>
      <c r="O163" s="4642"/>
      <c r="P163" s="4642"/>
      <c r="Q163" s="4642"/>
      <c r="R163" s="1992"/>
      <c r="T163" s="1992"/>
      <c r="U163" s="2262"/>
      <c r="V163" s="2262"/>
      <c r="W163" s="1992"/>
      <c r="X163" s="1992"/>
      <c r="Y163" s="1992"/>
      <c r="Z163" s="1992"/>
      <c r="AA163" s="2262"/>
      <c r="AB163" s="1992"/>
      <c r="AC163" s="1992"/>
      <c r="AD163" s="1170"/>
      <c r="AE163" s="1992"/>
      <c r="AF163" s="1992"/>
      <c r="AG163" s="1992"/>
      <c r="AH163" s="1992"/>
      <c r="AI163" s="1992"/>
      <c r="AJ163" s="2258"/>
      <c r="AK163" s="1248"/>
      <c r="AL163" s="1248"/>
      <c r="AM163" s="1248"/>
      <c r="AN163" s="1248"/>
      <c r="AO163" s="2267">
        <v>11</v>
      </c>
    </row>
    <row s="35197" customFormat="1" customHeight="1" ht="11.549999999999999">
      <c r="A164" s="1613"/>
      <c r="B164" s="1613"/>
      <c r="C164" s="1613"/>
      <c r="D164" s="1613"/>
      <c r="E164" s="1613"/>
      <c r="F164" s="2262"/>
      <c r="G164" s="2262"/>
      <c r="H164" s="977"/>
      <c r="N164" s="4642"/>
      <c r="O164" s="4642"/>
      <c r="P164" s="4642"/>
      <c r="Q164" s="4642"/>
      <c r="R164" s="1992"/>
      <c r="T164" s="1992"/>
      <c r="U164" s="2262"/>
      <c r="V164" s="2262"/>
      <c r="W164" s="1992"/>
      <c r="X164" s="1992"/>
      <c r="Y164" s="1992"/>
      <c r="Z164" s="1992"/>
      <c r="AA164" s="2262"/>
      <c r="AB164" s="1992"/>
      <c r="AC164" s="1992"/>
      <c r="AD164" s="1170"/>
      <c r="AE164" s="1992"/>
      <c r="AF164" s="1992"/>
      <c r="AG164" s="1992"/>
      <c r="AH164" s="1992"/>
      <c r="AI164" s="1992"/>
      <c r="AJ164" s="2258"/>
      <c r="AK164" s="1248"/>
      <c r="AL164" s="1248"/>
      <c r="AM164" s="1248"/>
      <c r="AN164" s="1248"/>
      <c r="AO164" s="2267">
        <v>11</v>
      </c>
    </row>
    <row s="35197" customFormat="1" customHeight="1" ht="11.549999999999999">
      <c r="A165" s="1613"/>
      <c r="B165" s="1613"/>
      <c r="C165" s="1613"/>
      <c r="D165" s="1613"/>
      <c r="E165" s="1613"/>
      <c r="F165" s="2262"/>
      <c r="G165" s="2262"/>
      <c r="H165" s="977"/>
      <c r="N165" s="4642"/>
      <c r="O165" s="4642"/>
      <c r="P165" s="4642"/>
      <c r="Q165" s="4642"/>
      <c r="R165" s="1992"/>
      <c r="T165" s="1992"/>
      <c r="U165" s="2262"/>
      <c r="V165" s="2262"/>
      <c r="W165" s="1992"/>
      <c r="X165" s="1992"/>
      <c r="Y165" s="1992"/>
      <c r="Z165" s="1992"/>
      <c r="AA165" s="2262"/>
      <c r="AB165" s="1992"/>
      <c r="AC165" s="1992"/>
      <c r="AD165" s="1170"/>
      <c r="AE165" s="1992"/>
      <c r="AF165" s="1992"/>
      <c r="AG165" s="1992"/>
      <c r="AH165" s="1992"/>
      <c r="AI165" s="1992"/>
      <c r="AJ165" s="2258"/>
      <c r="AK165" s="1248"/>
      <c r="AL165" s="1248"/>
      <c r="AM165" s="1248"/>
      <c r="AN165" s="1248"/>
      <c r="AO165" s="2267">
        <v>11</v>
      </c>
    </row>
    <row s="35197" customFormat="1" customHeight="1" ht="11.549999999999999">
      <c r="A166" s="1613"/>
      <c r="B166" s="1613"/>
      <c r="C166" s="1613"/>
      <c r="D166" s="1613"/>
      <c r="E166" s="1613"/>
      <c r="F166" s="2262"/>
      <c r="G166" s="2262"/>
      <c r="H166" s="977"/>
      <c r="N166" s="4642"/>
      <c r="O166" s="4642"/>
      <c r="P166" s="4642"/>
      <c r="Q166" s="4642"/>
      <c r="R166" s="1992"/>
      <c r="T166" s="1992"/>
      <c r="U166" s="2262"/>
      <c r="V166" s="2262"/>
      <c r="W166" s="1992"/>
      <c r="X166" s="1992"/>
      <c r="Y166" s="1992"/>
      <c r="Z166" s="1992"/>
      <c r="AA166" s="2262"/>
      <c r="AB166" s="1992"/>
      <c r="AC166" s="1992"/>
      <c r="AD166" s="1170"/>
      <c r="AE166" s="1992"/>
      <c r="AF166" s="1992"/>
      <c r="AG166" s="1992"/>
      <c r="AH166" s="1992"/>
      <c r="AI166" s="1992"/>
      <c r="AJ166" s="2258"/>
      <c r="AK166" s="1248"/>
      <c r="AL166" s="1248"/>
      <c r="AM166" s="1248"/>
      <c r="AN166" s="1248"/>
      <c r="AO166" s="2267">
        <v>11</v>
      </c>
    </row>
    <row s="35197" customFormat="1" customHeight="1" ht="11.549999999999999">
      <c r="A167" s="1613"/>
      <c r="B167" s="1613"/>
      <c r="C167" s="1613"/>
      <c r="D167" s="1613"/>
      <c r="E167" s="1613"/>
      <c r="F167" s="2262"/>
      <c r="G167" s="2262"/>
      <c r="H167" s="977"/>
      <c r="N167" s="4642"/>
      <c r="O167" s="4642"/>
      <c r="P167" s="4642"/>
      <c r="Q167" s="4642"/>
      <c r="R167" s="1992"/>
      <c r="T167" s="1992"/>
      <c r="U167" s="2262"/>
      <c r="V167" s="2262"/>
      <c r="W167" s="1992"/>
      <c r="X167" s="1992"/>
      <c r="Y167" s="1992"/>
      <c r="Z167" s="1992"/>
      <c r="AA167" s="2262"/>
      <c r="AB167" s="1992"/>
      <c r="AC167" s="1992"/>
      <c r="AD167" s="1170"/>
      <c r="AE167" s="1992"/>
      <c r="AF167" s="1992"/>
      <c r="AG167" s="1992"/>
      <c r="AH167" s="1992"/>
      <c r="AI167" s="1992"/>
      <c r="AJ167" s="2258"/>
      <c r="AK167" s="1248"/>
      <c r="AL167" s="1248"/>
      <c r="AM167" s="1248"/>
      <c r="AN167" s="1248"/>
      <c r="AO167" s="2267">
        <v>11</v>
      </c>
    </row>
    <row s="35197" customFormat="1" customHeight="1" ht="11.549999999999999">
      <c r="A168" s="1613"/>
      <c r="B168" s="1613"/>
      <c r="C168" s="1613"/>
      <c r="D168" s="1613"/>
      <c r="E168" s="1613"/>
      <c r="F168" s="2262"/>
      <c r="G168" s="2262"/>
      <c r="H168" s="977"/>
      <c r="N168" s="4642"/>
      <c r="O168" s="4642"/>
      <c r="P168" s="4642"/>
      <c r="Q168" s="4642"/>
      <c r="R168" s="1992"/>
      <c r="T168" s="1992"/>
      <c r="U168" s="2262"/>
      <c r="V168" s="2262"/>
      <c r="W168" s="1992"/>
      <c r="X168" s="1992"/>
      <c r="Y168" s="1992"/>
      <c r="Z168" s="1992"/>
      <c r="AA168" s="2262"/>
      <c r="AB168" s="1992"/>
      <c r="AC168" s="1992"/>
      <c r="AD168" s="1170"/>
      <c r="AE168" s="1992"/>
      <c r="AF168" s="1992"/>
      <c r="AG168" s="1992"/>
      <c r="AH168" s="1992"/>
      <c r="AI168" s="1992"/>
      <c r="AJ168" s="2258"/>
      <c r="AK168" s="1248"/>
      <c r="AL168" s="1248"/>
      <c r="AM168" s="1248"/>
      <c r="AN168" s="1248"/>
      <c r="AO168" s="2267">
        <v>11</v>
      </c>
    </row>
    <row s="35197" customFormat="1" customHeight="1" ht="11.549999999999999">
      <c r="A169" s="1613"/>
      <c r="B169" s="1613"/>
      <c r="C169" s="1613"/>
      <c r="D169" s="1613"/>
      <c r="E169" s="1613"/>
      <c r="F169" s="2262"/>
      <c r="G169" s="2262"/>
      <c r="H169" s="977"/>
      <c r="N169" s="4642"/>
      <c r="O169" s="4642"/>
      <c r="P169" s="4642"/>
      <c r="Q169" s="4642"/>
      <c r="R169" s="1992"/>
      <c r="T169" s="1992"/>
      <c r="U169" s="2262"/>
      <c r="V169" s="2262"/>
      <c r="W169" s="1992"/>
      <c r="X169" s="1992"/>
      <c r="Y169" s="1992"/>
      <c r="Z169" s="1992"/>
      <c r="AA169" s="2262"/>
      <c r="AB169" s="1992"/>
      <c r="AC169" s="1992"/>
      <c r="AD169" s="1170"/>
      <c r="AE169" s="1992"/>
      <c r="AF169" s="1992"/>
      <c r="AG169" s="1992"/>
      <c r="AH169" s="1992"/>
      <c r="AI169" s="1992"/>
      <c r="AJ169" s="2258"/>
      <c r="AK169" s="1248"/>
      <c r="AL169" s="1248"/>
      <c r="AM169" s="1248"/>
      <c r="AN169" s="1248"/>
      <c r="AO169" s="2267">
        <v>11</v>
      </c>
    </row>
    <row s="35197" customFormat="1" customHeight="1" ht="11.549999999999999">
      <c r="A170" s="1613"/>
      <c r="B170" s="1613"/>
      <c r="C170" s="1613"/>
      <c r="D170" s="1613"/>
      <c r="E170" s="1613"/>
      <c r="F170" s="2262"/>
      <c r="G170" s="2262"/>
      <c r="H170" s="977"/>
      <c r="N170" s="4642"/>
      <c r="O170" s="4642"/>
      <c r="P170" s="4642"/>
      <c r="Q170" s="4642"/>
      <c r="R170" s="1992"/>
      <c r="T170" s="1992"/>
      <c r="U170" s="2262"/>
      <c r="V170" s="2262"/>
      <c r="W170" s="1992"/>
      <c r="X170" s="1992"/>
      <c r="Y170" s="1992"/>
      <c r="Z170" s="1992"/>
      <c r="AA170" s="2262"/>
      <c r="AB170" s="1992"/>
      <c r="AC170" s="1992"/>
      <c r="AD170" s="1170"/>
      <c r="AE170" s="1992"/>
      <c r="AF170" s="1992"/>
      <c r="AG170" s="1992"/>
      <c r="AH170" s="1992"/>
      <c r="AI170" s="1992"/>
      <c r="AJ170" s="2258"/>
      <c r="AK170" s="1248"/>
      <c r="AL170" s="1248"/>
      <c r="AM170" s="1248"/>
      <c r="AN170" s="1248"/>
      <c r="AO170" s="2267">
        <v>11</v>
      </c>
    </row>
    <row s="35197" customFormat="1" customHeight="1" ht="11.549999999999999">
      <c r="A171" s="1613"/>
      <c r="B171" s="1613"/>
      <c r="C171" s="1613"/>
      <c r="D171" s="1613"/>
      <c r="E171" s="1613"/>
      <c r="F171" s="2262"/>
      <c r="G171" s="2262"/>
      <c r="H171" s="977"/>
      <c r="N171" s="4642"/>
      <c r="O171" s="4642"/>
      <c r="P171" s="4642"/>
      <c r="Q171" s="4642"/>
      <c r="R171" s="1992"/>
      <c r="T171" s="1992"/>
      <c r="U171" s="2262"/>
      <c r="V171" s="2262"/>
      <c r="W171" s="1992"/>
      <c r="X171" s="1992"/>
      <c r="Y171" s="1992"/>
      <c r="Z171" s="1992"/>
      <c r="AA171" s="2262"/>
      <c r="AB171" s="1992"/>
      <c r="AC171" s="1992"/>
      <c r="AD171" s="1170"/>
      <c r="AE171" s="1992"/>
      <c r="AF171" s="1992"/>
      <c r="AG171" s="1992"/>
      <c r="AH171" s="1992"/>
      <c r="AI171" s="1992"/>
      <c r="AJ171" s="2258"/>
      <c r="AK171" s="1248"/>
      <c r="AL171" s="1248"/>
      <c r="AM171" s="1248"/>
      <c r="AN171" s="1248"/>
      <c r="AO171" s="2267">
        <v>11</v>
      </c>
    </row>
    <row s="35197" customFormat="1" customHeight="1" ht="11.549999999999999">
      <c r="A172" s="1613"/>
      <c r="B172" s="1613"/>
      <c r="C172" s="1613"/>
      <c r="D172" s="1613"/>
      <c r="E172" s="1613"/>
      <c r="F172" s="2262"/>
      <c r="G172" s="2262"/>
      <c r="H172" s="977"/>
      <c r="N172" s="4642"/>
      <c r="O172" s="4642"/>
      <c r="P172" s="4642"/>
      <c r="Q172" s="4642"/>
      <c r="R172" s="1992"/>
      <c r="T172" s="1992"/>
      <c r="U172" s="2262"/>
      <c r="V172" s="2262"/>
      <c r="W172" s="1992"/>
      <c r="X172" s="1992"/>
      <c r="Y172" s="1992"/>
      <c r="Z172" s="1992"/>
      <c r="AA172" s="2262"/>
      <c r="AB172" s="1992"/>
      <c r="AC172" s="1992"/>
      <c r="AD172" s="1170"/>
      <c r="AE172" s="1992"/>
      <c r="AF172" s="1992"/>
      <c r="AG172" s="1992"/>
      <c r="AH172" s="1992"/>
      <c r="AI172" s="1992"/>
      <c r="AJ172" s="2258"/>
      <c r="AK172" s="1248"/>
      <c r="AL172" s="1248"/>
      <c r="AM172" s="1248"/>
      <c r="AN172" s="1248"/>
      <c r="AO172" s="2267">
        <v>11</v>
      </c>
    </row>
    <row s="35197" customFormat="1" customHeight="1" ht="11.549999999999999">
      <c r="A173" s="1613"/>
      <c r="B173" s="1613"/>
      <c r="C173" s="1613"/>
      <c r="D173" s="1613"/>
      <c r="E173" s="1613"/>
      <c r="F173" s="2262"/>
      <c r="G173" s="2262"/>
      <c r="H173" s="977"/>
      <c r="N173" s="4642"/>
      <c r="O173" s="4642"/>
      <c r="P173" s="4642"/>
      <c r="Q173" s="4642"/>
      <c r="R173" s="1992"/>
      <c r="T173" s="1992"/>
      <c r="U173" s="2262"/>
      <c r="V173" s="2262"/>
      <c r="W173" s="1992"/>
      <c r="X173" s="1992"/>
      <c r="Y173" s="1992"/>
      <c r="Z173" s="1992"/>
      <c r="AA173" s="2262"/>
      <c r="AB173" s="1992"/>
      <c r="AC173" s="1992"/>
      <c r="AD173" s="1170"/>
      <c r="AE173" s="1992"/>
      <c r="AF173" s="1992"/>
      <c r="AG173" s="1992"/>
      <c r="AH173" s="1992"/>
      <c r="AI173" s="1992"/>
      <c r="AJ173" s="2258"/>
      <c r="AK173" s="1248"/>
      <c r="AL173" s="1248"/>
      <c r="AM173" s="1248"/>
      <c r="AN173" s="1248"/>
      <c r="AO173" s="2267">
        <v>11</v>
      </c>
    </row>
    <row s="35197" customFormat="1" customHeight="1" ht="11.549999999999999">
      <c r="A174" s="1613"/>
      <c r="B174" s="1613"/>
      <c r="C174" s="1613"/>
      <c r="D174" s="1613"/>
      <c r="E174" s="1613"/>
      <c r="F174" s="2262"/>
      <c r="G174" s="2262"/>
      <c r="H174" s="977"/>
      <c r="N174" s="4642"/>
      <c r="O174" s="4642"/>
      <c r="P174" s="4642"/>
      <c r="Q174" s="4642"/>
      <c r="R174" s="1992"/>
      <c r="T174" s="1992"/>
      <c r="U174" s="2262"/>
      <c r="V174" s="2262"/>
      <c r="W174" s="1992"/>
      <c r="X174" s="1992"/>
      <c r="Y174" s="1992"/>
      <c r="Z174" s="1992"/>
      <c r="AA174" s="2262"/>
      <c r="AB174" s="1992"/>
      <c r="AC174" s="1992"/>
      <c r="AD174" s="1170"/>
      <c r="AE174" s="1992"/>
      <c r="AF174" s="1992"/>
      <c r="AG174" s="1992"/>
      <c r="AH174" s="1992"/>
      <c r="AI174" s="1992"/>
      <c r="AJ174" s="2258"/>
      <c r="AK174" s="1248"/>
      <c r="AL174" s="1248"/>
      <c r="AM174" s="1248"/>
      <c r="AN174" s="1248"/>
      <c r="AO174" s="2267">
        <v>11</v>
      </c>
    </row>
    <row s="35197" customFormat="1" customHeight="1" ht="11.549999999999999">
      <c r="A175" s="1613"/>
      <c r="B175" s="1613"/>
      <c r="C175" s="1613"/>
      <c r="D175" s="1613"/>
      <c r="E175" s="1613"/>
      <c r="F175" s="2262"/>
      <c r="G175" s="2262"/>
      <c r="H175" s="977"/>
      <c r="N175" s="4642"/>
      <c r="O175" s="4642"/>
      <c r="P175" s="4642"/>
      <c r="Q175" s="4642"/>
      <c r="R175" s="1992"/>
      <c r="T175" s="1992"/>
      <c r="U175" s="2262"/>
      <c r="V175" s="2262"/>
      <c r="W175" s="1992"/>
      <c r="X175" s="1992"/>
      <c r="Y175" s="1992"/>
      <c r="Z175" s="1992"/>
      <c r="AA175" s="2262"/>
      <c r="AB175" s="1992"/>
      <c r="AC175" s="1992"/>
      <c r="AD175" s="1170"/>
      <c r="AE175" s="1992"/>
      <c r="AF175" s="1992"/>
      <c r="AG175" s="1992"/>
      <c r="AH175" s="1992"/>
      <c r="AI175" s="1992"/>
      <c r="AJ175" s="2258"/>
      <c r="AK175" s="1248"/>
      <c r="AL175" s="1248"/>
      <c r="AM175" s="1248"/>
      <c r="AN175" s="1248"/>
      <c r="AO175" s="2267">
        <v>11</v>
      </c>
    </row>
    <row s="35197" customFormat="1" customHeight="1" ht="11.549999999999999">
      <c r="A176" s="1613"/>
      <c r="B176" s="1613"/>
      <c r="C176" s="1613"/>
      <c r="D176" s="1613"/>
      <c r="E176" s="1613"/>
      <c r="F176" s="2262"/>
      <c r="G176" s="2262"/>
      <c r="H176" s="977"/>
      <c r="N176" s="4642"/>
      <c r="O176" s="4642"/>
      <c r="P176" s="4642"/>
      <c r="Q176" s="4642"/>
      <c r="R176" s="1992"/>
      <c r="T176" s="1992"/>
      <c r="U176" s="2262"/>
      <c r="V176" s="2262"/>
      <c r="W176" s="1992"/>
      <c r="X176" s="1992"/>
      <c r="Y176" s="1992"/>
      <c r="Z176" s="1992"/>
      <c r="AA176" s="2262"/>
      <c r="AB176" s="1992"/>
      <c r="AC176" s="1992"/>
      <c r="AD176" s="1170"/>
      <c r="AE176" s="1992"/>
      <c r="AF176" s="1992"/>
      <c r="AG176" s="1992"/>
      <c r="AH176" s="1992"/>
      <c r="AI176" s="1992"/>
      <c r="AJ176" s="2258"/>
      <c r="AK176" s="1248"/>
      <c r="AL176" s="1248"/>
      <c r="AM176" s="1248"/>
      <c r="AN176" s="1248"/>
      <c r="AO176" s="2267">
        <v>11</v>
      </c>
    </row>
    <row s="35197" customFormat="1" customHeight="1" ht="11.549999999999999">
      <c r="A177" s="1613"/>
      <c r="B177" s="1613"/>
      <c r="C177" s="1613"/>
      <c r="D177" s="1613"/>
      <c r="E177" s="1613"/>
      <c r="F177" s="2262"/>
      <c r="G177" s="2262"/>
      <c r="H177" s="977"/>
      <c r="N177" s="4642"/>
      <c r="O177" s="4642"/>
      <c r="P177" s="4642"/>
      <c r="Q177" s="4642"/>
      <c r="R177" s="1992"/>
      <c r="T177" s="1992"/>
      <c r="U177" s="2262"/>
      <c r="V177" s="2262"/>
      <c r="W177" s="1992"/>
      <c r="X177" s="1992"/>
      <c r="Y177" s="1992"/>
      <c r="Z177" s="1992"/>
      <c r="AA177" s="2262"/>
      <c r="AB177" s="1992"/>
      <c r="AC177" s="1992"/>
      <c r="AD177" s="1170"/>
      <c r="AE177" s="1992"/>
      <c r="AF177" s="1992"/>
      <c r="AG177" s="1992"/>
      <c r="AH177" s="1992"/>
      <c r="AI177" s="1992"/>
      <c r="AJ177" s="2258"/>
      <c r="AK177" s="1248"/>
      <c r="AL177" s="1248"/>
      <c r="AM177" s="1248"/>
      <c r="AN177" s="1248"/>
      <c r="AO177" s="2267">
        <v>11</v>
      </c>
    </row>
    <row s="35197" customFormat="1" customHeight="1" ht="11.549999999999999">
      <c r="A178" s="1613"/>
      <c r="B178" s="1613"/>
      <c r="C178" s="1613"/>
      <c r="D178" s="1613"/>
      <c r="E178" s="1613"/>
      <c r="F178" s="2262"/>
      <c r="G178" s="2262"/>
      <c r="H178" s="977"/>
      <c r="N178" s="4642"/>
      <c r="O178" s="4642"/>
      <c r="P178" s="4642"/>
      <c r="Q178" s="4642"/>
      <c r="R178" s="1992"/>
      <c r="T178" s="1992"/>
      <c r="U178" s="2262"/>
      <c r="V178" s="2262"/>
      <c r="W178" s="1992"/>
      <c r="X178" s="1992"/>
      <c r="Y178" s="1992"/>
      <c r="Z178" s="1992"/>
      <c r="AA178" s="2262"/>
      <c r="AB178" s="1992"/>
      <c r="AC178" s="1992"/>
      <c r="AD178" s="1170"/>
      <c r="AE178" s="1992"/>
      <c r="AF178" s="1992"/>
      <c r="AG178" s="1992"/>
      <c r="AH178" s="1992"/>
      <c r="AI178" s="1992"/>
      <c r="AJ178" s="2258"/>
      <c r="AK178" s="1248"/>
      <c r="AL178" s="1248"/>
      <c r="AM178" s="1248"/>
      <c r="AN178" s="1248"/>
      <c r="AO178" s="2267">
        <v>11</v>
      </c>
    </row>
    <row s="35197" customFormat="1" customHeight="1" ht="11.549999999999999">
      <c r="A179" s="1613"/>
      <c r="B179" s="1613"/>
      <c r="C179" s="1613"/>
      <c r="D179" s="1613"/>
      <c r="E179" s="1613"/>
      <c r="F179" s="2262"/>
      <c r="G179" s="2262"/>
      <c r="H179" s="977"/>
      <c r="N179" s="4642"/>
      <c r="O179" s="4642"/>
      <c r="P179" s="4642"/>
      <c r="Q179" s="4642"/>
      <c r="R179" s="1992"/>
      <c r="T179" s="1992"/>
      <c r="U179" s="2262"/>
      <c r="V179" s="2262"/>
      <c r="W179" s="1992"/>
      <c r="X179" s="1992"/>
      <c r="Y179" s="1992"/>
      <c r="Z179" s="1992"/>
      <c r="AA179" s="2262"/>
      <c r="AB179" s="1992"/>
      <c r="AC179" s="1992"/>
      <c r="AD179" s="1170"/>
      <c r="AE179" s="1992"/>
      <c r="AF179" s="1992"/>
      <c r="AG179" s="1992"/>
      <c r="AH179" s="1992"/>
      <c r="AI179" s="1992"/>
      <c r="AJ179" s="2258"/>
      <c r="AK179" s="1248"/>
      <c r="AL179" s="1248"/>
      <c r="AM179" s="1248"/>
      <c r="AN179" s="1248"/>
      <c r="AO179" s="2267">
        <v>11</v>
      </c>
    </row>
    <row s="35197" customFormat="1" customHeight="1" ht="11.549999999999999">
      <c r="A180" s="1613"/>
      <c r="B180" s="1613"/>
      <c r="C180" s="1613"/>
      <c r="D180" s="1613"/>
      <c r="E180" s="1613"/>
      <c r="F180" s="2262"/>
      <c r="G180" s="2262"/>
      <c r="H180" s="977"/>
      <c r="N180" s="4642"/>
      <c r="O180" s="4642"/>
      <c r="P180" s="4642"/>
      <c r="Q180" s="4642"/>
      <c r="R180" s="1992"/>
      <c r="T180" s="1992"/>
      <c r="U180" s="2262"/>
      <c r="V180" s="2262"/>
      <c r="W180" s="1992"/>
      <c r="X180" s="1992"/>
      <c r="Y180" s="1992"/>
      <c r="Z180" s="1992"/>
      <c r="AA180" s="2262"/>
      <c r="AB180" s="1992"/>
      <c r="AC180" s="1992"/>
      <c r="AD180" s="1170"/>
      <c r="AE180" s="1992"/>
      <c r="AF180" s="1992"/>
      <c r="AG180" s="1992"/>
      <c r="AH180" s="1992"/>
      <c r="AI180" s="1992"/>
      <c r="AJ180" s="2258"/>
      <c r="AK180" s="1248"/>
      <c r="AL180" s="1248"/>
      <c r="AM180" s="1248"/>
      <c r="AN180" s="1248"/>
      <c r="AO180" s="2267">
        <v>11</v>
      </c>
    </row>
    <row s="35197" customFormat="1" customHeight="1" ht="11.549999999999999">
      <c r="A181" s="1613"/>
      <c r="B181" s="1613"/>
      <c r="C181" s="1613"/>
      <c r="D181" s="1613"/>
      <c r="E181" s="1613"/>
      <c r="F181" s="2262"/>
      <c r="G181" s="2262"/>
      <c r="H181" s="977"/>
      <c r="N181" s="4642"/>
      <c r="O181" s="4642"/>
      <c r="P181" s="4642"/>
      <c r="Q181" s="4642"/>
      <c r="R181" s="1992"/>
      <c r="T181" s="1992"/>
      <c r="U181" s="2262"/>
      <c r="V181" s="2262"/>
      <c r="W181" s="1992"/>
      <c r="X181" s="1992"/>
      <c r="Y181" s="1992"/>
      <c r="Z181" s="1992"/>
      <c r="AA181" s="2262"/>
      <c r="AB181" s="1992"/>
      <c r="AC181" s="1992"/>
      <c r="AD181" s="1170"/>
      <c r="AE181" s="1992"/>
      <c r="AF181" s="1992"/>
      <c r="AG181" s="1992"/>
      <c r="AH181" s="1992"/>
      <c r="AI181" s="1992"/>
      <c r="AJ181" s="2258"/>
      <c r="AK181" s="1248"/>
      <c r="AL181" s="1248"/>
      <c r="AM181" s="1248"/>
      <c r="AN181" s="1248"/>
      <c r="AO181" s="2267">
        <v>11</v>
      </c>
    </row>
    <row s="35197" customFormat="1" customHeight="1" ht="11.549999999999999">
      <c r="A182" s="1613"/>
      <c r="B182" s="1613"/>
      <c r="C182" s="1613"/>
      <c r="D182" s="1613"/>
      <c r="E182" s="1613"/>
      <c r="F182" s="2262"/>
      <c r="G182" s="2262"/>
      <c r="H182" s="977"/>
      <c r="N182" s="4642"/>
      <c r="O182" s="4642"/>
      <c r="P182" s="4642"/>
      <c r="Q182" s="4642"/>
      <c r="R182" s="1992"/>
      <c r="T182" s="1992"/>
      <c r="U182" s="2262"/>
      <c r="V182" s="2262"/>
      <c r="W182" s="1992"/>
      <c r="X182" s="1992"/>
      <c r="Y182" s="1992"/>
      <c r="Z182" s="1992"/>
      <c r="AA182" s="2262"/>
      <c r="AB182" s="1992"/>
      <c r="AC182" s="1992"/>
      <c r="AD182" s="1170"/>
      <c r="AE182" s="1992"/>
      <c r="AF182" s="1992"/>
      <c r="AG182" s="1992"/>
      <c r="AH182" s="1992"/>
      <c r="AI182" s="1992"/>
      <c r="AJ182" s="2258"/>
      <c r="AK182" s="1248"/>
      <c r="AL182" s="1248"/>
      <c r="AM182" s="1248"/>
      <c r="AN182" s="1248"/>
      <c r="AO182" s="2267">
        <v>11</v>
      </c>
    </row>
    <row s="35197" customFormat="1" customHeight="1" ht="11.549999999999999">
      <c r="A183" s="1613"/>
      <c r="B183" s="1613"/>
      <c r="C183" s="1613"/>
      <c r="D183" s="1613"/>
      <c r="E183" s="1613"/>
      <c r="F183" s="2262"/>
      <c r="G183" s="2262"/>
      <c r="H183" s="977"/>
      <c r="N183" s="4642"/>
      <c r="O183" s="4642"/>
      <c r="P183" s="4642"/>
      <c r="Q183" s="4642"/>
      <c r="R183" s="1992"/>
      <c r="T183" s="1992"/>
      <c r="U183" s="2262"/>
      <c r="V183" s="2262"/>
      <c r="W183" s="1992"/>
      <c r="X183" s="1992"/>
      <c r="Y183" s="1992"/>
      <c r="Z183" s="1992"/>
      <c r="AA183" s="2262"/>
      <c r="AB183" s="1992"/>
      <c r="AC183" s="1992"/>
      <c r="AD183" s="1170"/>
      <c r="AE183" s="1992"/>
      <c r="AF183" s="1992"/>
      <c r="AG183" s="1992"/>
      <c r="AH183" s="1992"/>
      <c r="AI183" s="1992"/>
      <c r="AJ183" s="2258"/>
      <c r="AK183" s="1248"/>
      <c r="AL183" s="1248"/>
      <c r="AM183" s="1248"/>
      <c r="AN183" s="1248"/>
      <c r="AO183" s="2267">
        <v>11</v>
      </c>
    </row>
    <row s="35197" customFormat="1" customHeight="1" ht="11.549999999999999">
      <c r="A184" s="1613"/>
      <c r="B184" s="1613"/>
      <c r="C184" s="1613"/>
      <c r="D184" s="1613"/>
      <c r="E184" s="1613"/>
      <c r="F184" s="2262"/>
      <c r="G184" s="2262"/>
      <c r="H184" s="977"/>
      <c r="N184" s="4642"/>
      <c r="O184" s="4642"/>
      <c r="P184" s="4642"/>
      <c r="Q184" s="4642"/>
      <c r="R184" s="1992"/>
      <c r="T184" s="1992"/>
      <c r="U184" s="2262"/>
      <c r="V184" s="2262"/>
      <c r="W184" s="1992"/>
      <c r="X184" s="1992"/>
      <c r="Y184" s="1992"/>
      <c r="Z184" s="1992"/>
      <c r="AA184" s="2262"/>
      <c r="AB184" s="1992"/>
      <c r="AC184" s="1992"/>
      <c r="AD184" s="1170"/>
      <c r="AE184" s="1992"/>
      <c r="AF184" s="1992"/>
      <c r="AG184" s="1992"/>
      <c r="AH184" s="1992"/>
      <c r="AI184" s="1992"/>
      <c r="AJ184" s="2258"/>
      <c r="AK184" s="1248"/>
      <c r="AL184" s="1248"/>
      <c r="AM184" s="1248"/>
      <c r="AN184" s="1248"/>
      <c r="AO184" s="2267">
        <v>11</v>
      </c>
    </row>
    <row s="35197" customFormat="1" customHeight="1" ht="11.549999999999999">
      <c r="A185" s="1613"/>
      <c r="B185" s="1613"/>
      <c r="C185" s="1613"/>
      <c r="D185" s="1613"/>
      <c r="E185" s="1613"/>
      <c r="F185" s="2262"/>
      <c r="G185" s="2262"/>
      <c r="H185" s="977"/>
      <c r="N185" s="4642"/>
      <c r="O185" s="4642"/>
      <c r="P185" s="4642"/>
      <c r="Q185" s="4642"/>
      <c r="R185" s="1992"/>
      <c r="T185" s="1992"/>
      <c r="U185" s="2262"/>
      <c r="V185" s="2262"/>
      <c r="W185" s="1992"/>
      <c r="X185" s="1992"/>
      <c r="Y185" s="1992"/>
      <c r="Z185" s="1992"/>
      <c r="AA185" s="2262"/>
      <c r="AB185" s="1992"/>
      <c r="AC185" s="1992"/>
      <c r="AD185" s="1170"/>
      <c r="AE185" s="1992"/>
      <c r="AF185" s="1992"/>
      <c r="AG185" s="1992"/>
      <c r="AH185" s="1992"/>
      <c r="AI185" s="1992"/>
      <c r="AJ185" s="2258"/>
      <c r="AK185" s="1248"/>
      <c r="AL185" s="1248"/>
      <c r="AM185" s="1248"/>
      <c r="AN185" s="1248"/>
      <c r="AO185" s="2267">
        <v>11</v>
      </c>
    </row>
    <row s="35197" customFormat="1" customHeight="1" ht="11.549999999999999">
      <c r="A186" s="1613"/>
      <c r="B186" s="1613"/>
      <c r="C186" s="1613"/>
      <c r="D186" s="1613"/>
      <c r="E186" s="1613"/>
      <c r="F186" s="2262"/>
      <c r="G186" s="2262"/>
      <c r="H186" s="977"/>
      <c r="N186" s="4642"/>
      <c r="O186" s="4642"/>
      <c r="P186" s="4642"/>
      <c r="Q186" s="4642"/>
      <c r="R186" s="1992"/>
      <c r="T186" s="1992"/>
      <c r="U186" s="2262"/>
      <c r="V186" s="2262"/>
      <c r="W186" s="1992"/>
      <c r="X186" s="1992"/>
      <c r="Y186" s="1992"/>
      <c r="Z186" s="1992"/>
      <c r="AA186" s="2262"/>
      <c r="AB186" s="1992"/>
      <c r="AC186" s="1992"/>
      <c r="AD186" s="1170"/>
      <c r="AE186" s="1992"/>
      <c r="AF186" s="1992"/>
      <c r="AG186" s="1992"/>
      <c r="AH186" s="1992"/>
      <c r="AI186" s="1992"/>
      <c r="AJ186" s="2258"/>
      <c r="AK186" s="1248"/>
      <c r="AL186" s="1248"/>
      <c r="AM186" s="1248"/>
      <c r="AN186" s="1248"/>
      <c r="AO186" s="2267">
        <v>11</v>
      </c>
    </row>
    <row s="35197" customFormat="1" customHeight="1" ht="11.549999999999999">
      <c r="A187" s="1613"/>
      <c r="B187" s="1613"/>
      <c r="C187" s="1613"/>
      <c r="D187" s="1613"/>
      <c r="E187" s="1613"/>
      <c r="F187" s="2262"/>
      <c r="G187" s="2262"/>
      <c r="H187" s="977"/>
      <c r="N187" s="4642"/>
      <c r="O187" s="4642"/>
      <c r="P187" s="4642"/>
      <c r="Q187" s="4642"/>
      <c r="R187" s="1992"/>
      <c r="T187" s="1992"/>
      <c r="U187" s="2262"/>
      <c r="V187" s="2262"/>
      <c r="W187" s="1992"/>
      <c r="X187" s="1992"/>
      <c r="Y187" s="1992"/>
      <c r="Z187" s="1992"/>
      <c r="AA187" s="2262"/>
      <c r="AB187" s="1992"/>
      <c r="AC187" s="1992"/>
      <c r="AD187" s="1170"/>
      <c r="AE187" s="1992"/>
      <c r="AF187" s="1992"/>
      <c r="AG187" s="1992"/>
      <c r="AH187" s="1992"/>
      <c r="AI187" s="1992"/>
      <c r="AJ187" s="2258"/>
      <c r="AK187" s="1248"/>
      <c r="AL187" s="1248"/>
      <c r="AM187" s="1248"/>
      <c r="AN187" s="1248"/>
      <c r="AO187" s="2267">
        <v>11</v>
      </c>
    </row>
    <row s="35197" customFormat="1" customHeight="1" ht="11.549999999999999">
      <c r="A188" s="1613"/>
      <c r="B188" s="1613"/>
      <c r="C188" s="1613"/>
      <c r="D188" s="1613"/>
      <c r="E188" s="1613"/>
      <c r="F188" s="2262"/>
      <c r="G188" s="2262"/>
      <c r="H188" s="977"/>
      <c r="N188" s="4642"/>
      <c r="O188" s="4642"/>
      <c r="P188" s="4642"/>
      <c r="Q188" s="4642"/>
      <c r="R188" s="1992"/>
      <c r="T188" s="1992"/>
      <c r="U188" s="2262"/>
      <c r="V188" s="2262"/>
      <c r="W188" s="1992"/>
      <c r="X188" s="1992"/>
      <c r="Y188" s="1992"/>
      <c r="Z188" s="1992"/>
      <c r="AA188" s="2262"/>
      <c r="AB188" s="1992"/>
      <c r="AC188" s="1992"/>
      <c r="AD188" s="1170"/>
      <c r="AE188" s="1992"/>
      <c r="AF188" s="1992"/>
      <c r="AG188" s="1992"/>
      <c r="AH188" s="1992"/>
      <c r="AI188" s="1992"/>
      <c r="AJ188" s="2258"/>
      <c r="AK188" s="1248"/>
      <c r="AL188" s="1248"/>
      <c r="AM188" s="1248"/>
      <c r="AN188" s="1248"/>
      <c r="AO188" s="2267">
        <v>11</v>
      </c>
    </row>
    <row s="35197" customFormat="1" customHeight="1" ht="11.549999999999999">
      <c r="A189" s="1613"/>
      <c r="B189" s="1613"/>
      <c r="C189" s="1613"/>
      <c r="D189" s="1613"/>
      <c r="E189" s="1613"/>
      <c r="F189" s="2262"/>
      <c r="G189" s="2262"/>
      <c r="H189" s="977"/>
      <c r="N189" s="4642"/>
      <c r="O189" s="4642"/>
      <c r="P189" s="4642"/>
      <c r="Q189" s="4642"/>
      <c r="R189" s="1992"/>
      <c r="T189" s="1992"/>
      <c r="U189" s="2262"/>
      <c r="V189" s="2262"/>
      <c r="W189" s="1992"/>
      <c r="X189" s="1992"/>
      <c r="Y189" s="1992"/>
      <c r="Z189" s="1992"/>
      <c r="AA189" s="2262"/>
      <c r="AB189" s="1992"/>
      <c r="AC189" s="1992"/>
      <c r="AD189" s="1170"/>
      <c r="AE189" s="1992"/>
      <c r="AF189" s="1992"/>
      <c r="AG189" s="1992"/>
      <c r="AH189" s="1992"/>
      <c r="AI189" s="1992"/>
      <c r="AJ189" s="2258"/>
      <c r="AK189" s="1248"/>
      <c r="AL189" s="1248"/>
      <c r="AM189" s="1248"/>
      <c r="AN189" s="1248"/>
      <c r="AO189" s="2267">
        <v>11</v>
      </c>
    </row>
    <row customHeight="1" ht="11.549999999999999">
      <c r="N190" s="4469"/>
      <c r="O190" s="4469"/>
      <c r="P190" s="4469"/>
      <c r="Q190" s="4469"/>
      <c r="AO190" s="2257">
        <v>11</v>
      </c>
    </row>
    <row customHeight="1" ht="11.549999999999999">
      <c r="N191" s="4469"/>
      <c r="O191" s="4469"/>
      <c r="P191" s="4469"/>
      <c r="Q191" s="4469"/>
      <c r="AO191" s="2257">
        <v>11</v>
      </c>
    </row>
    <row customHeight="1" ht="11.549999999999999">
      <c r="N192" s="4469"/>
      <c r="O192" s="4469"/>
      <c r="P192" s="4469"/>
      <c r="Q192" s="4469"/>
      <c r="AO192" s="2257">
        <v>11</v>
      </c>
    </row>
    <row customHeight="1" ht="11.549999999999999">
      <c r="A193" s="1616"/>
      <c r="B193" s="1616"/>
      <c r="C193" s="1616"/>
      <c r="D193" s="1616"/>
      <c r="E193" s="1616"/>
      <c r="F193" s="2257"/>
      <c r="H193" s="2257"/>
      <c r="N193" s="4469"/>
      <c r="O193" s="4469"/>
      <c r="P193" s="4469"/>
      <c r="Q193" s="4469"/>
      <c r="R193" s="2257"/>
      <c r="T193" s="2257"/>
      <c r="W193" s="2257"/>
      <c r="X193" s="2257"/>
      <c r="Y193" s="2257"/>
      <c r="Z193" s="2257"/>
      <c r="AB193" s="2257"/>
      <c r="AC193" s="2257"/>
      <c r="AD193" s="2257"/>
      <c r="AE193" s="2257"/>
      <c r="AF193" s="2257"/>
      <c r="AG193" s="2257"/>
      <c r="AH193" s="2257"/>
      <c r="AI193" s="2257"/>
      <c r="AJ193" s="2257"/>
      <c r="AK193" s="2257"/>
      <c r="AL193" s="2257"/>
      <c r="AM193" s="2257"/>
      <c r="AN193" s="2257"/>
      <c r="AO193" s="2257">
        <v>11</v>
      </c>
    </row>
    <row customHeight="1" ht="11.549999999999999">
      <c r="A194" s="1616"/>
      <c r="B194" s="1616"/>
      <c r="C194" s="1616"/>
      <c r="D194" s="1616"/>
      <c r="E194" s="1616"/>
      <c r="F194" s="2257"/>
      <c r="H194" s="2257"/>
      <c r="N194" s="4469"/>
      <c r="O194" s="4469"/>
      <c r="P194" s="4469"/>
      <c r="Q194" s="4469"/>
      <c r="R194" s="2257"/>
      <c r="T194" s="2257"/>
      <c r="W194" s="2257"/>
      <c r="X194" s="2257"/>
      <c r="Y194" s="2257"/>
      <c r="Z194" s="2257"/>
      <c r="AB194" s="2257"/>
      <c r="AC194" s="2257"/>
      <c r="AD194" s="2257"/>
      <c r="AE194" s="2257"/>
      <c r="AF194" s="2257"/>
      <c r="AG194" s="2257"/>
      <c r="AH194" s="2257"/>
      <c r="AI194" s="2257"/>
      <c r="AJ194" s="2257"/>
      <c r="AK194" s="2257"/>
      <c r="AL194" s="2257"/>
      <c r="AM194" s="2257"/>
      <c r="AN194" s="2257"/>
      <c r="AO194" s="2257">
        <v>11</v>
      </c>
    </row>
    <row customHeight="1" ht="11.549999999999999">
      <c r="A195" s="1616"/>
      <c r="B195" s="1616"/>
      <c r="C195" s="1616"/>
      <c r="D195" s="1616"/>
      <c r="E195" s="1616"/>
      <c r="F195" s="2257"/>
      <c r="H195" s="2257"/>
      <c r="N195" s="4469"/>
      <c r="O195" s="4469"/>
      <c r="P195" s="4469"/>
      <c r="Q195" s="4469"/>
      <c r="R195" s="2257"/>
      <c r="T195" s="2257"/>
      <c r="W195" s="2257"/>
      <c r="X195" s="2257"/>
      <c r="Y195" s="2257"/>
      <c r="Z195" s="2257"/>
      <c r="AB195" s="2257"/>
      <c r="AC195" s="2257"/>
      <c r="AD195" s="2257"/>
      <c r="AE195" s="2257"/>
      <c r="AF195" s="2257"/>
      <c r="AG195" s="2257"/>
      <c r="AH195" s="2257"/>
      <c r="AI195" s="2257"/>
      <c r="AJ195" s="2257"/>
      <c r="AK195" s="2257"/>
      <c r="AL195" s="2257"/>
      <c r="AM195" s="2257"/>
      <c r="AN195" s="2257"/>
      <c r="AO195" s="2257">
        <v>11</v>
      </c>
    </row>
    <row customHeight="1" ht="11.549999999999999">
      <c r="A196" s="1616"/>
      <c r="B196" s="1616"/>
      <c r="C196" s="1616"/>
      <c r="D196" s="1616"/>
      <c r="E196" s="1616"/>
      <c r="F196" s="2257"/>
      <c r="H196" s="2257"/>
      <c r="N196" s="4469"/>
      <c r="O196" s="4469"/>
      <c r="P196" s="4469"/>
      <c r="Q196" s="4469"/>
      <c r="R196" s="2257"/>
      <c r="T196" s="2257"/>
      <c r="W196" s="2257"/>
      <c r="X196" s="2257"/>
      <c r="Y196" s="2257"/>
      <c r="Z196" s="2257"/>
      <c r="AB196" s="2257"/>
      <c r="AC196" s="2257"/>
      <c r="AD196" s="2257"/>
      <c r="AE196" s="2257"/>
      <c r="AF196" s="2257"/>
      <c r="AG196" s="2257"/>
      <c r="AH196" s="2257"/>
      <c r="AI196" s="2257"/>
      <c r="AJ196" s="2257"/>
      <c r="AK196" s="2257"/>
      <c r="AL196" s="2257"/>
      <c r="AM196" s="2257"/>
      <c r="AN196" s="2257"/>
      <c r="AO196" s="2257">
        <v>11</v>
      </c>
    </row>
    <row customHeight="1" ht="11.549999999999999">
      <c r="A197" s="1616"/>
      <c r="B197" s="1616"/>
      <c r="C197" s="1616"/>
      <c r="D197" s="1616"/>
      <c r="E197" s="1616"/>
      <c r="F197" s="2257"/>
      <c r="H197" s="2257"/>
      <c r="N197" s="4469"/>
      <c r="O197" s="4469"/>
      <c r="P197" s="4469"/>
      <c r="Q197" s="4469"/>
      <c r="R197" s="2257"/>
      <c r="T197" s="2257"/>
      <c r="W197" s="2257"/>
      <c r="X197" s="2257"/>
      <c r="Y197" s="2257"/>
      <c r="Z197" s="2257"/>
      <c r="AB197" s="2257"/>
      <c r="AC197" s="2257"/>
      <c r="AD197" s="2257"/>
      <c r="AE197" s="2257"/>
      <c r="AF197" s="2257"/>
      <c r="AG197" s="2257"/>
      <c r="AH197" s="2257"/>
      <c r="AI197" s="2257"/>
      <c r="AJ197" s="2257"/>
      <c r="AK197" s="2257"/>
      <c r="AL197" s="2257"/>
      <c r="AM197" s="2257"/>
      <c r="AN197" s="2257"/>
      <c r="AO197" s="2257">
        <v>11</v>
      </c>
    </row>
    <row customHeight="1" ht="11.549999999999999">
      <c r="A198" s="1616"/>
      <c r="B198" s="1616"/>
      <c r="C198" s="1616"/>
      <c r="D198" s="1616"/>
      <c r="E198" s="1616"/>
      <c r="F198" s="2257"/>
      <c r="H198" s="2257"/>
      <c r="N198" s="4469"/>
      <c r="O198" s="4469"/>
      <c r="P198" s="4469"/>
      <c r="Q198" s="4469"/>
      <c r="R198" s="2257"/>
      <c r="T198" s="2257"/>
      <c r="W198" s="2257"/>
      <c r="X198" s="2257"/>
      <c r="Y198" s="2257"/>
      <c r="Z198" s="2257"/>
      <c r="AB198" s="2257"/>
      <c r="AC198" s="2257"/>
      <c r="AD198" s="2257"/>
      <c r="AE198" s="2257"/>
      <c r="AF198" s="2257"/>
      <c r="AG198" s="2257"/>
      <c r="AH198" s="2257"/>
      <c r="AI198" s="2257"/>
      <c r="AJ198" s="2257"/>
      <c r="AK198" s="2257"/>
      <c r="AL198" s="2257"/>
      <c r="AM198" s="2257"/>
      <c r="AN198" s="2257"/>
      <c r="AO198" s="2257">
        <v>11</v>
      </c>
    </row>
    <row customHeight="1" ht="11.549999999999999">
      <c r="A199" s="1616"/>
      <c r="B199" s="1616"/>
      <c r="C199" s="1616"/>
      <c r="D199" s="1616"/>
      <c r="E199" s="1616"/>
      <c r="F199" s="2257"/>
      <c r="H199" s="2257"/>
      <c r="N199" s="4469"/>
      <c r="O199" s="4469"/>
      <c r="P199" s="4469"/>
      <c r="Q199" s="4469"/>
      <c r="R199" s="2257"/>
      <c r="T199" s="2257"/>
      <c r="W199" s="2257"/>
      <c r="X199" s="2257"/>
      <c r="Y199" s="2257"/>
      <c r="Z199" s="2257"/>
      <c r="AB199" s="2257"/>
      <c r="AC199" s="2257"/>
      <c r="AD199" s="2257"/>
      <c r="AE199" s="2257"/>
      <c r="AF199" s="2257"/>
      <c r="AG199" s="2257"/>
      <c r="AH199" s="2257"/>
      <c r="AI199" s="2257"/>
      <c r="AJ199" s="2257"/>
      <c r="AK199" s="2257"/>
      <c r="AL199" s="2257"/>
      <c r="AM199" s="2257"/>
      <c r="AN199" s="2257"/>
      <c r="AO199" s="2257">
        <v>11</v>
      </c>
    </row>
    <row customHeight="1" ht="11.549999999999999">
      <c r="A200" s="1616"/>
      <c r="B200" s="1616"/>
      <c r="C200" s="1616"/>
      <c r="D200" s="1616"/>
      <c r="E200" s="1616"/>
      <c r="F200" s="2257"/>
      <c r="H200" s="2257"/>
      <c r="N200" s="4469"/>
      <c r="O200" s="4469"/>
      <c r="P200" s="4469"/>
      <c r="Q200" s="4469"/>
      <c r="R200" s="2257"/>
      <c r="T200" s="2257"/>
      <c r="W200" s="2257"/>
      <c r="X200" s="2257"/>
      <c r="Y200" s="2257"/>
      <c r="Z200" s="2257"/>
      <c r="AB200" s="2257"/>
      <c r="AC200" s="2257"/>
      <c r="AD200" s="2257"/>
      <c r="AE200" s="2257"/>
      <c r="AF200" s="2257"/>
      <c r="AG200" s="2257"/>
      <c r="AH200" s="2257"/>
      <c r="AI200" s="2257"/>
      <c r="AJ200" s="2257"/>
      <c r="AK200" s="2257"/>
      <c r="AL200" s="2257"/>
      <c r="AM200" s="2257"/>
      <c r="AN200" s="2257"/>
      <c r="AO200" s="2257">
        <v>11</v>
      </c>
    </row>
    <row customHeight="1" ht="11.549999999999999">
      <c r="A201" s="1616"/>
      <c r="B201" s="1616"/>
      <c r="C201" s="1616"/>
      <c r="D201" s="1616"/>
      <c r="E201" s="1616"/>
      <c r="F201" s="2257"/>
      <c r="H201" s="2257"/>
      <c r="N201" s="4469"/>
      <c r="O201" s="4469"/>
      <c r="P201" s="4469"/>
      <c r="Q201" s="4469"/>
      <c r="R201" s="2257"/>
      <c r="T201" s="2257"/>
      <c r="W201" s="2257"/>
      <c r="X201" s="2257"/>
      <c r="Y201" s="2257"/>
      <c r="Z201" s="2257"/>
      <c r="AB201" s="2257"/>
      <c r="AC201" s="2257"/>
      <c r="AD201" s="2257"/>
      <c r="AE201" s="2257"/>
      <c r="AF201" s="2257"/>
      <c r="AG201" s="2257"/>
      <c r="AH201" s="2257"/>
      <c r="AI201" s="2257"/>
      <c r="AJ201" s="2257"/>
      <c r="AK201" s="2257"/>
      <c r="AL201" s="2257"/>
      <c r="AM201" s="2257"/>
      <c r="AN201" s="2257"/>
      <c r="AO201" s="2257">
        <v>11</v>
      </c>
    </row>
    <row customHeight="1" ht="11.549999999999999">
      <c r="A202" s="1616"/>
      <c r="B202" s="1616"/>
      <c r="C202" s="1616"/>
      <c r="D202" s="1616"/>
      <c r="E202" s="1616"/>
      <c r="F202" s="2257"/>
      <c r="H202" s="2257"/>
      <c r="N202" s="4469"/>
      <c r="O202" s="4469"/>
      <c r="P202" s="4469"/>
      <c r="Q202" s="4469"/>
      <c r="R202" s="2257"/>
      <c r="T202" s="2257"/>
      <c r="W202" s="2257"/>
      <c r="X202" s="2257"/>
      <c r="Y202" s="2257"/>
      <c r="Z202" s="2257"/>
      <c r="AB202" s="2257"/>
      <c r="AC202" s="2257"/>
      <c r="AD202" s="2257"/>
      <c r="AE202" s="2257"/>
      <c r="AF202" s="2257"/>
      <c r="AG202" s="2257"/>
      <c r="AH202" s="2257"/>
      <c r="AI202" s="2257"/>
      <c r="AJ202" s="2257"/>
      <c r="AK202" s="2257"/>
      <c r="AL202" s="2257"/>
      <c r="AM202" s="2257"/>
      <c r="AN202" s="2257"/>
      <c r="AO202" s="2257">
        <v>11</v>
      </c>
    </row>
    <row customHeight="1" ht="11.549999999999999">
      <c r="A203" s="1616"/>
      <c r="B203" s="1616"/>
      <c r="C203" s="1616"/>
      <c r="D203" s="1616"/>
      <c r="E203" s="1616"/>
      <c r="F203" s="2257"/>
      <c r="H203" s="2257"/>
      <c r="N203" s="4469"/>
      <c r="O203" s="4469"/>
      <c r="P203" s="4469"/>
      <c r="Q203" s="4469"/>
      <c r="R203" s="2257"/>
      <c r="T203" s="2257"/>
      <c r="W203" s="2257"/>
      <c r="X203" s="2257"/>
      <c r="Y203" s="2257"/>
      <c r="Z203" s="2257"/>
      <c r="AB203" s="2257"/>
      <c r="AC203" s="2257"/>
      <c r="AD203" s="2257"/>
      <c r="AE203" s="2257"/>
      <c r="AF203" s="2257"/>
      <c r="AG203" s="2257"/>
      <c r="AH203" s="2257"/>
      <c r="AI203" s="2257"/>
      <c r="AJ203" s="2257"/>
      <c r="AK203" s="2257"/>
      <c r="AL203" s="2257"/>
      <c r="AM203" s="2257"/>
      <c r="AN203" s="2257"/>
      <c r="AO203" s="2257">
        <v>11</v>
      </c>
    </row>
    <row customHeight="1" ht="12.75" hidden="1">
      <c r="A204" s="1613" t="s">
        <v>82</v>
      </c>
      <c r="B204" s="1613" t="s">
        <v>169</v>
      </c>
      <c r="C204" s="1613" t="s">
        <v>169</v>
      </c>
      <c r="D204" s="1613" t="s">
        <v>169</v>
      </c>
      <c r="E204" s="1613" t="s">
        <v>169</v>
      </c>
      <c r="F204" s="2261">
        <v>16</v>
      </c>
      <c r="G204" s="2262">
        <v>0</v>
      </c>
      <c r="H204" s="2261">
        <v>3</v>
      </c>
      <c r="I204" s="2257">
        <v>7</v>
      </c>
      <c r="J204" s="2257">
        <v>56</v>
      </c>
      <c r="K204" s="2257">
        <v>10</v>
      </c>
      <c r="L204" s="2257">
        <v>40</v>
      </c>
      <c r="M204" s="2257">
        <v>40</v>
      </c>
      <c r="N204" s="4469">
        <v>40</v>
      </c>
      <c r="O204" s="4469">
        <v>40</v>
      </c>
      <c r="P204" s="4469">
        <v>40</v>
      </c>
      <c r="Q204" s="4469">
        <v>40</v>
      </c>
      <c r="R204" s="1992">
        <v>9</v>
      </c>
      <c r="S204" s="2257">
        <v>102</v>
      </c>
      <c r="T204" s="1992">
        <v>9</v>
      </c>
      <c r="U204" s="2262">
        <v>5</v>
      </c>
      <c r="V204" s="2262">
        <v>3</v>
      </c>
      <c r="W204" s="1992">
        <v>3</v>
      </c>
      <c r="X204" s="1992">
        <v>3</v>
      </c>
      <c r="Y204" s="1992">
        <v>3</v>
      </c>
      <c r="Z204" s="1992">
        <v>3</v>
      </c>
      <c r="AA204" s="2262">
        <v>10</v>
      </c>
      <c r="AB204" s="1992">
        <v>34</v>
      </c>
      <c r="AC204" s="1992">
        <v>9</v>
      </c>
      <c r="AD204" s="1170">
        <v>8</v>
      </c>
      <c r="AE204" s="1992">
        <v>8</v>
      </c>
      <c r="AF204" s="1992">
        <v>8</v>
      </c>
      <c r="AG204" s="1992">
        <v>8</v>
      </c>
      <c r="AH204" s="1992">
        <v>8</v>
      </c>
      <c r="AI204" s="1992">
        <v>8</v>
      </c>
      <c r="AJ204" s="2258">
        <v>8</v>
      </c>
      <c r="AK204" s="2258">
        <v>8</v>
      </c>
      <c r="AL204" s="2258">
        <v>8</v>
      </c>
      <c r="AM204" s="2258">
        <v>8</v>
      </c>
      <c r="AN204" s="2258">
        <v>8</v>
      </c>
      <c r="AO204" s="2257">
        <v>11</v>
      </c>
    </row>
  </sheetData>
  <sheetProtection sheet="1" sort="1" autoFilter="0" insertRows="1" insertColumns="1" deleteRows="1" deleteColumns="1"/>
  <mergeCells count="7">
    <mergeCell ref="I6:M6"/>
    <mergeCell ref="I7:M7"/>
    <mergeCell ref="J10:K10"/>
    <mergeCell ref="S10:S14"/>
    <mergeCell ref="J11:K11"/>
    <mergeCell ref="J12:K12"/>
    <mergeCell ref="I13:K13"/>
  </mergeCells>
  <dataValidations count="4">
    <dataValidation type="decimal" allowBlank="1" showErrorMessage="1" errorTitle="Ошибка" error="Допускается ввод только неотрицательных чисел!" sqref="L32:Q33 L19:Q29 L16:Q16 L2:Q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Q17">
      <formula1>900</formula1>
    </dataValidation>
    <dataValidation type="whole" allowBlank="1" showErrorMessage="1" errorTitle="Ошибка" error="Допускается ввод только неотрицательных целых чисел!" sqref="L30: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Q15 L34:Q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DDF542-895A-A6C5-7901-F0C3806F3CB1}"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34580" width="10.57421875" hidden="1"/>
    <col min="5" max="5" style="35441" width="9.140625" hidden="1" customWidth="1"/>
    <col min="6" max="7" style="34657" width="9.140625" hidden="1" customWidth="1"/>
    <col min="8" max="8" style="35442" width="3.00390625" customWidth="1"/>
    <col min="9" max="9" style="34580" width="6.00390625" customWidth="1"/>
    <col min="10" max="10" style="34580" width="63.00390625" customWidth="1"/>
    <col min="11" max="11" style="34580" width="9.00390625" customWidth="1"/>
    <col min="12" max="12" style="34580" width="39.00390625" customWidth="1"/>
    <col min="13" max="13" style="34580" width="89.00390625" customWidth="1"/>
    <col min="14" max="14" style="34580" width="10.00390625" customWidth="1"/>
    <col min="15" max="16" style="34757" width="10.00390625" customWidth="1"/>
    <col min="17" max="22" style="34580" width="10.00390625" customWidth="1"/>
    <col min="23" max="23" style="34580" width="10.57421875" hidden="1"/>
  </cols>
  <sheetData>
    <row customHeight="1" ht="22.5" hidden="1">
      <c r="S1" s="881"/>
      <c r="T1" s="881"/>
      <c r="V1" s="881"/>
      <c r="W1" s="2257" t="s">
        <v>14</v>
      </c>
    </row>
    <row customHeight="1" ht="22.5" hidden="1">
      <c r="B2" s="2679" t="s">
        <v>709</v>
      </c>
      <c r="C2" s="2679" t="s">
        <v>710</v>
      </c>
      <c r="D2" s="2678" t="s">
        <v>649</v>
      </c>
      <c r="E2" s="2684">
        <f>I2-3</f>
        <v>-3</v>
      </c>
      <c r="F2" s="2684">
        <f>J2</f>
        <v>0</v>
      </c>
      <c r="H2" s="2356" t="s">
        <v>103</v>
      </c>
      <c r="I2" s="2650"/>
      <c r="J2" s="2308"/>
      <c r="K2" s="2644" t="s">
        <v>324</v>
      </c>
      <c r="L2" s="1790"/>
      <c r="M2" s="923"/>
      <c r="N2" s="2250"/>
      <c r="P2" s="2257"/>
      <c r="W2" s="2257">
        <v>0</v>
      </c>
    </row>
    <row customHeight="1" ht="14.25" hidden="1">
      <c r="W3" s="2257">
        <v>0</v>
      </c>
    </row>
    <row customHeight="1" ht="6.3">
      <c r="H4" s="1002"/>
      <c r="I4" s="1083"/>
      <c r="J4" s="1083"/>
      <c r="K4" s="1083"/>
      <c r="L4" s="711"/>
      <c r="M4" s="711"/>
      <c r="W4" s="2257">
        <v>6</v>
      </c>
    </row>
    <row customHeight="1" ht="50.25">
      <c r="H5" s="1002"/>
      <c r="I5" s="2874" t="s">
        <v>711</v>
      </c>
      <c r="J5" s="2874"/>
      <c r="K5" s="2874"/>
      <c r="L5" s="2874"/>
      <c r="M5" s="892"/>
      <c r="W5" s="2257">
        <v>48</v>
      </c>
    </row>
    <row customHeight="1" ht="18">
      <c r="H6" s="1002"/>
      <c r="I6" s="2875" t="str">
        <f>IF(org=0,"Не определено",org)</f>
        <v>АО "ДГК"</v>
      </c>
      <c r="J6" s="2875"/>
      <c r="K6" s="2875"/>
      <c r="L6" s="2875"/>
      <c r="M6" s="892"/>
      <c r="W6" s="2257">
        <v>17</v>
      </c>
    </row>
    <row customHeight="1" ht="14.699999999999998">
      <c r="H7" s="1002"/>
      <c r="I7" s="1083"/>
      <c r="J7" s="1089"/>
      <c r="K7" s="1089"/>
      <c r="L7" s="1378"/>
      <c r="M7" s="819"/>
      <c r="W7" s="2257">
        <v>14</v>
      </c>
    </row>
    <row customHeight="1" ht="14.699999999999998">
      <c r="H8" s="1002"/>
      <c r="I8" s="3012" t="s">
        <v>318</v>
      </c>
      <c r="J8" s="3013"/>
      <c r="K8" s="3013"/>
      <c r="L8" s="3014"/>
      <c r="M8" s="3015" t="s">
        <v>319</v>
      </c>
      <c r="W8" s="2257">
        <v>14</v>
      </c>
    </row>
    <row customHeight="1" ht="35.699999999999996">
      <c r="E9" s="2677" t="s">
        <v>640</v>
      </c>
      <c r="F9" s="2677" t="s">
        <v>646</v>
      </c>
      <c r="H9" s="1002"/>
      <c r="I9" s="2651" t="s">
        <v>88</v>
      </c>
      <c r="J9" s="2652" t="s">
        <v>320</v>
      </c>
      <c r="K9" s="2690" t="s">
        <v>584</v>
      </c>
      <c r="L9" s="2691" t="s">
        <v>321</v>
      </c>
      <c r="M9" s="3015"/>
      <c r="W9" s="2257">
        <v>34</v>
      </c>
    </row>
    <row customHeight="1" ht="35.699999999999996">
      <c r="B10" s="2679" t="s">
        <v>712</v>
      </c>
      <c r="C10" s="2679" t="s">
        <v>713</v>
      </c>
      <c r="D10" s="2678" t="s">
        <v>649</v>
      </c>
      <c r="E10" s="2682" t="s">
        <v>650</v>
      </c>
      <c r="F10" s="2682" t="s">
        <v>650</v>
      </c>
      <c r="H10" s="1002"/>
      <c r="I10" s="2650" t="s">
        <v>118</v>
      </c>
      <c r="J10" s="2512" t="s">
        <v>714</v>
      </c>
      <c r="K10" s="2644" t="s">
        <v>324</v>
      </c>
      <c r="L10" s="1444"/>
      <c r="M10" s="923" t="s">
        <v>715</v>
      </c>
      <c r="W10" s="2257">
        <v>34</v>
      </c>
    </row>
    <row customHeight="1" ht="50.25">
      <c r="B11" s="2679" t="s">
        <v>716</v>
      </c>
      <c r="C11" s="2679" t="s">
        <v>717</v>
      </c>
      <c r="D11" s="2678" t="s">
        <v>649</v>
      </c>
      <c r="E11" s="2682" t="s">
        <v>650</v>
      </c>
      <c r="F11" s="2682" t="s">
        <v>650</v>
      </c>
      <c r="H11" s="1002"/>
      <c r="I11" s="2650" t="s">
        <v>102</v>
      </c>
      <c r="J11" s="2512" t="s">
        <v>718</v>
      </c>
      <c r="K11" s="2644" t="s">
        <v>324</v>
      </c>
      <c r="L11" s="1444"/>
      <c r="M11" s="923" t="s">
        <v>715</v>
      </c>
      <c r="W11" s="2257">
        <v>48</v>
      </c>
    </row>
    <row customHeight="1" ht="48.29999999999999">
      <c r="B12" s="2679" t="s">
        <v>719</v>
      </c>
      <c r="C12" s="2679" t="s">
        <v>720</v>
      </c>
      <c r="D12" s="2678" t="s">
        <v>649</v>
      </c>
      <c r="E12" s="2682" t="s">
        <v>650</v>
      </c>
      <c r="F12" s="2682" t="s">
        <v>650</v>
      </c>
      <c r="H12" s="2314"/>
      <c r="I12" s="2650" t="s">
        <v>90</v>
      </c>
      <c r="J12" s="2657" t="s">
        <v>721</v>
      </c>
      <c r="K12" s="2644" t="s">
        <v>324</v>
      </c>
      <c r="L12" s="1444"/>
      <c r="M12" s="923" t="s">
        <v>722</v>
      </c>
      <c r="N12" s="2250"/>
      <c r="P12" s="2257"/>
      <c r="W12" s="2257">
        <v>46</v>
      </c>
    </row>
    <row customHeight="1" ht="14.699999999999998">
      <c r="E13" s="969"/>
      <c r="H13" s="1002"/>
      <c r="I13" s="973"/>
      <c r="J13" s="1277" t="s">
        <v>723</v>
      </c>
      <c r="K13" s="1197"/>
      <c r="L13" s="840"/>
      <c r="M13" s="923"/>
      <c r="W13" s="2257">
        <v>14</v>
      </c>
    </row>
    <row customHeight="1" ht="14.699999999999998">
      <c r="E14" s="969"/>
      <c r="H14" s="1002"/>
      <c r="I14" s="1683"/>
      <c r="J14" s="2303"/>
      <c r="K14" s="2304"/>
      <c r="L14" s="2305"/>
      <c r="M14" s="2654"/>
      <c r="W14" s="2257">
        <v>14</v>
      </c>
    </row>
    <row customHeight="1" ht="14.699999999999998">
      <c r="I15" s="2307"/>
      <c r="J15" s="3011"/>
      <c r="K15" s="3011"/>
      <c r="L15" s="3011"/>
      <c r="M15" s="3011"/>
      <c r="W15" s="2257">
        <v>14</v>
      </c>
    </row>
    <row customHeight="1" ht="21" hidden="1">
      <c r="A16" s="2656" t="s">
        <v>82</v>
      </c>
      <c r="B16" s="2257">
        <v>9</v>
      </c>
      <c r="C16" s="2257">
        <v>9</v>
      </c>
      <c r="D16" s="2257">
        <v>9</v>
      </c>
      <c r="E16" s="2656" t="s">
        <v>168</v>
      </c>
      <c r="F16" s="2681" t="s">
        <v>168</v>
      </c>
      <c r="G16" s="2683"/>
      <c r="H16" s="970">
        <v>3</v>
      </c>
      <c r="I16" s="2257">
        <v>6</v>
      </c>
      <c r="J16" s="2257">
        <v>63</v>
      </c>
      <c r="K16" s="2257">
        <v>9</v>
      </c>
      <c r="L16" s="2257">
        <v>39</v>
      </c>
      <c r="M16" s="2257">
        <v>89</v>
      </c>
      <c r="N16" s="2257">
        <v>10</v>
      </c>
      <c r="O16" s="2250">
        <v>10</v>
      </c>
      <c r="P16" s="2250">
        <v>10</v>
      </c>
      <c r="Q16" s="2257">
        <v>10</v>
      </c>
      <c r="R16" s="2257">
        <v>10</v>
      </c>
      <c r="S16" s="2257">
        <v>10</v>
      </c>
      <c r="T16" s="2257">
        <v>10</v>
      </c>
      <c r="U16" s="2257">
        <v>10</v>
      </c>
      <c r="V16" s="2257">
        <v>10</v>
      </c>
      <c r="W16" s="2257">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F921C7-337B-7634-F17F-C190B4407B17}" mc:Ignorable="x14ac xr xr2 xr3">
  <sheetPr>
    <tabColor theme="9" tint="-0.25"/>
  </sheetPr>
  <dimension ref="A1:AJ217"/>
  <sheetViews>
    <sheetView showGridLines="0" zoomScale="90" workbookViewId="0">
      <pane xSplit="8" ySplit="14" topLeftCell="I15" activePane="bottomRight" state="frozen"/>
      <selection pane="bottomLeft" activeCell="A15" sqref="A15"/>
      <selection pane="topRight" activeCell="I1" sqref="I1"/>
      <selection pane="bottomRight" activeCell="M9" sqref="M9"/>
    </sheetView>
  </sheetViews>
  <sheetFormatPr defaultColWidth="9.140625" customHeight="1" defaultRowHeight="11.25"/>
  <cols>
    <col min="1" max="1" style="35916" width="10.7109375" hidden="1" customWidth="1"/>
    <col min="2" max="2" style="34657" width="16.8515625" hidden="1" customWidth="1"/>
    <col min="3" max="3" style="34658" width="5.57421875" hidden="1" customWidth="1"/>
    <col min="4" max="4" style="34580" width="3.00390625" customWidth="1"/>
    <col min="5" max="5" style="34580" width="7.00390625" customWidth="1"/>
    <col min="6" max="6" style="34580" width="56.00390625" customWidth="1"/>
    <col min="7" max="7" style="34580" width="10.00390625" customWidth="1"/>
    <col min="8" max="8" style="34580" width="40.7109375" hidden="1" customWidth="1"/>
    <col min="9" max="9" style="34580" width="40.00390625" customWidth="1"/>
    <col min="10" max="13" style="35917" width="40.7109375" customWidth="1"/>
    <col min="14" max="14" style="34580" width="102.00390625" customWidth="1"/>
    <col min="15" max="15" style="34657" width="9.00390625" customWidth="1"/>
    <col min="16" max="16" style="34658" width="5.00390625" customWidth="1"/>
    <col min="17" max="17" style="34658" width="3.00390625" customWidth="1"/>
    <col min="18" max="21" style="34657" width="3.00390625" customWidth="1"/>
    <col min="22" max="22" style="34658" width="10.00390625" customWidth="1"/>
    <col min="23" max="23" style="34657" width="34.00390625" customWidth="1"/>
    <col min="24" max="24" style="34657" width="9.00390625" customWidth="1"/>
    <col min="25" max="25" style="35918" width="8.00390625" customWidth="1"/>
    <col min="26" max="30" style="34657" width="8.00390625" customWidth="1"/>
    <col min="31" max="35" style="34544" width="8.00390625" customWidth="1"/>
    <col min="36" max="36" style="34580" width="10.421875" hidden="1" customWidth="1"/>
  </cols>
  <sheetData>
    <row s="34657" customFormat="1" customHeight="1" ht="22.5" hidden="1">
      <c r="A1" s="1613"/>
      <c r="C1" s="2262"/>
      <c r="D1" s="1163"/>
      <c r="H1" s="1786">
        <v>4</v>
      </c>
      <c r="I1" s="1786">
        <v>4</v>
      </c>
      <c r="J1" s="4490">
        <v>4</v>
      </c>
      <c r="K1" s="4490">
        <v>4</v>
      </c>
      <c r="L1" s="4490">
        <v>4</v>
      </c>
      <c r="M1" s="4490">
        <v>4</v>
      </c>
      <c r="P1" s="2262"/>
      <c r="Q1" s="2262"/>
      <c r="V1" s="2262"/>
      <c r="AJ1" s="1786" t="s">
        <v>14</v>
      </c>
    </row>
    <row s="34657" customFormat="1" customHeight="1" ht="22.5" hidden="1">
      <c r="A2" s="1613"/>
      <c r="C2" s="2262"/>
      <c r="D2" s="1164"/>
      <c r="E2" s="2263"/>
      <c r="F2" s="1166"/>
      <c r="G2" s="2265" t="s">
        <v>570</v>
      </c>
      <c r="H2" s="1167"/>
      <c r="I2" s="1167"/>
      <c r="J2" s="4486"/>
      <c r="K2" s="4486"/>
      <c r="L2" s="4486"/>
      <c r="M2" s="4486"/>
      <c r="N2" s="1168" t="s">
        <v>724</v>
      </c>
      <c r="O2" s="1169"/>
      <c r="P2" s="2262"/>
      <c r="Q2" s="2262"/>
      <c r="V2" s="2262"/>
      <c r="Y2" s="1170"/>
      <c r="AE2" s="2258"/>
      <c r="AF2" s="2258"/>
      <c r="AG2" s="2258"/>
      <c r="AH2" s="2258"/>
      <c r="AI2" s="2258"/>
      <c r="AJ2" s="1786">
        <v>0</v>
      </c>
    </row>
    <row customHeight="1" ht="11.25" hidden="1">
      <c r="J3" s="4469"/>
      <c r="K3" s="4469"/>
      <c r="L3" s="4469"/>
      <c r="M3" s="4469"/>
      <c r="AJ3" s="2257">
        <v>0</v>
      </c>
    </row>
    <row s="34544" customFormat="1" customHeight="1" ht="11.25" hidden="1">
      <c r="A4" s="1613"/>
      <c r="B4" s="1786"/>
      <c r="C4" s="2262"/>
      <c r="D4" s="988"/>
      <c r="J4" s="4500"/>
      <c r="K4" s="4500"/>
      <c r="L4" s="4500"/>
      <c r="M4" s="4500"/>
      <c r="N4" s="2258">
        <v>4</v>
      </c>
      <c r="O4" s="1786"/>
      <c r="P4" s="2262"/>
      <c r="Q4" s="2262"/>
      <c r="R4" s="1786"/>
      <c r="S4" s="1786"/>
      <c r="T4" s="1786"/>
      <c r="U4" s="1786"/>
      <c r="V4" s="2262"/>
      <c r="W4" s="1786"/>
      <c r="X4" s="1786"/>
      <c r="Y4" s="1170"/>
      <c r="Z4" s="1786"/>
      <c r="AA4" s="1786"/>
      <c r="AB4" s="1786"/>
      <c r="AC4" s="1786"/>
      <c r="AD4" s="1786"/>
      <c r="AJ4" s="2258">
        <v>0</v>
      </c>
    </row>
    <row customHeight="1" ht="11.549999999999999">
      <c r="J5" s="4469"/>
      <c r="K5" s="4469"/>
      <c r="L5" s="4469"/>
      <c r="M5" s="4469"/>
      <c r="AJ5" s="2257">
        <v>11</v>
      </c>
    </row>
    <row customHeight="1" ht="31.5">
      <c r="E6" s="2933" t="s">
        <v>725</v>
      </c>
      <c r="F6" s="2933"/>
      <c r="G6" s="2933"/>
      <c r="H6" s="2933"/>
      <c r="I6" s="2933"/>
      <c r="J6" s="4738"/>
      <c r="K6" s="4738"/>
      <c r="L6" s="4738"/>
      <c r="M6" s="4738"/>
      <c r="N6" s="1182"/>
      <c r="AJ6" s="2257">
        <v>30</v>
      </c>
    </row>
    <row customHeight="1" ht="11.549999999999999">
      <c r="E7" s="2875" t="str">
        <f>IF(org=0,"Не определено",org)</f>
        <v>АО "ДГК"</v>
      </c>
      <c r="F7" s="2875"/>
      <c r="G7" s="2875"/>
      <c r="H7" s="2875"/>
      <c r="I7" s="2875"/>
      <c r="J7" s="4503"/>
      <c r="K7" s="4503"/>
      <c r="L7" s="4503"/>
      <c r="M7" s="4503"/>
      <c r="AJ7" s="2257">
        <v>11</v>
      </c>
    </row>
    <row customHeight="1" ht="11.549999999999999">
      <c r="E8" s="1761"/>
      <c r="F8" s="1761"/>
      <c r="G8" s="1761"/>
      <c r="H8" s="1761"/>
      <c r="I8" s="1761"/>
      <c r="J8" s="4505" t="s">
        <v>22</v>
      </c>
      <c r="K8" s="4505" t="s">
        <v>22</v>
      </c>
      <c r="L8" s="4505" t="s">
        <v>22</v>
      </c>
      <c r="M8" s="4505" t="s">
        <v>22</v>
      </c>
      <c r="AJ8" s="2257">
        <v>11</v>
      </c>
    </row>
    <row s="34658" customFormat="1" customHeight="1" ht="4.2">
      <c r="A9" s="1793"/>
      <c r="D9" s="2268"/>
      <c r="H9" s="1515"/>
      <c r="I9" s="1515" t="s">
        <v>126</v>
      </c>
      <c r="J9" s="4507" t="s">
        <v>131</v>
      </c>
      <c r="K9" s="4507" t="s">
        <v>134</v>
      </c>
      <c r="L9" s="4507" t="s">
        <v>139</v>
      </c>
      <c r="M9" s="4507" t="s">
        <v>137</v>
      </c>
      <c r="AJ9" s="2262">
        <v>4</v>
      </c>
    </row>
    <row customHeight="1" ht="11.549999999999999">
      <c r="E10" s="1337"/>
      <c r="F10" s="2993" t="s">
        <v>114</v>
      </c>
      <c r="G10" s="2994"/>
      <c r="H10" s="2178" t="str">
        <f>IF(H9="","",INDEX(DIFFERENTIATION_UNMERGE_VD,MATCH(H9,DIFFERENTIATION_ID_DIFF,0)))</f>
        <v/>
      </c>
      <c r="I10" s="217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J10" s="4512"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K10" s="4512" t="str">
        <f>IF(K9="","",INDEX(DIFFERENTIATION_UNMERGE_VD,MATCH(K9,DIFFERENTIATION_ID_DIFF,0)))</f>
        <v>Производство тепловой энергии. Некомбинированная выработка</v>
      </c>
      <c r="L10" s="4512" t="str">
        <f>IF(L9="","",INDEX(DIFFERENTIATION_UNMERGE_VD,MATCH(L9,DIFFERENTIATION_ID_DIFF,0)))</f>
        <v>Производство тепловой энергии. Комбинированная выработка с уст. мощностью производства электрической энергии 25 МВт и более</v>
      </c>
      <c r="M10" s="4512" t="str">
        <f>IF(M9="","",INDEX(DIFFERENTIATION_UNMERGE_VD,MATCH(M9,DIFFERENTIATION_ID_DIFF,0)))</f>
        <v>Производство тепловой энергии. Некомбинированная выработка</v>
      </c>
      <c r="N10" s="2753"/>
      <c r="AJ10" s="2257">
        <v>11</v>
      </c>
    </row>
    <row customHeight="1" ht="11.549999999999999">
      <c r="E11" s="1337"/>
      <c r="F11" s="2993" t="s">
        <v>582</v>
      </c>
      <c r="G11" s="2994"/>
      <c r="H11" s="2178" t="str">
        <f>IF(H9="","",INDEX(DIFFERENTIATION_UNMERGE_AREA,MATCH(H9,DIFFERENTIATION_ID_DIFF,0)))</f>
        <v/>
      </c>
      <c r="I11" s="2178" t="str">
        <f>IF(I9="","",INDEX(DIFFERENTIATION_UNMERGE_AREA,MATCH(I9,DIFFERENTIATION_ID_DIFF,0)))</f>
        <v>Территория 1</v>
      </c>
      <c r="J11" s="4512" t="str">
        <f>IF(J9="","",INDEX(DIFFERENTIATION_UNMERGE_AREA,MATCH(J9,DIFFERENTIATION_ID_DIFF,0)))</f>
        <v>Территория 2</v>
      </c>
      <c r="K11" s="4512" t="str">
        <f>IF(K9="","",INDEX(DIFFERENTIATION_UNMERGE_AREA,MATCH(K9,DIFFERENTIATION_ID_DIFF,0)))</f>
        <v>Территория 2</v>
      </c>
      <c r="L11" s="4512" t="str">
        <f>IF(L9="","",INDEX(DIFFERENTIATION_UNMERGE_AREA,MATCH(L9,DIFFERENTIATION_ID_DIFF,0)))</f>
        <v>Территория 3</v>
      </c>
      <c r="M11" s="4512" t="str">
        <f>IF(M9="","",INDEX(DIFFERENTIATION_UNMERGE_AREA,MATCH(M9,DIFFERENTIATION_ID_DIFF,0)))</f>
        <v>Территория 3</v>
      </c>
      <c r="N11" s="2753"/>
      <c r="AJ11" s="2257">
        <v>11</v>
      </c>
    </row>
    <row customHeight="1" ht="1.05">
      <c r="E12" s="2288"/>
      <c r="F12" s="3016" t="s">
        <v>583</v>
      </c>
      <c r="G12" s="3017"/>
      <c r="H12" s="2289" t="str">
        <f>IF(H9="","",INDEX(DIFFERENTIATION_UNMERGE_SYSTEM,MATCH(H9,DIFFERENTIATION_ID_DIFF,0)))</f>
        <v/>
      </c>
      <c r="I12" s="2289" t="str">
        <f>IF(I9="","",INDEX(DIFFERENTIATION_UNMERGE_SYSTEM,MATCH(I9,DIFFERENTIATION_ID_DIFF,0)))</f>
        <v>Благовещенская ТЭЦ (г. Благовещенск)</v>
      </c>
      <c r="J12" s="4814" t="str">
        <f>IF(J9="","",INDEX(DIFFERENTIATION_UNMERGE_SYSTEM,MATCH(J9,DIFFERENTIATION_ID_DIFF,0)))</f>
        <v>Райчихинская ГРЭС </v>
      </c>
      <c r="K12" s="4814" t="str">
        <f>IF(K9="","",INDEX(DIFFERENTIATION_UNMERGE_SYSTEM,MATCH(K9,DIFFERENTIATION_ID_DIFF,0)))</f>
        <v>Котельная "Агромех" (п.г.т. Новорайчихинск)</v>
      </c>
      <c r="L12" s="4814" t="str">
        <f>IF(L9="","",INDEX(DIFFERENTIATION_UNMERGE_SYSTEM,MATCH(L9,DIFFERENTIATION_ID_DIFF,0)))</f>
        <v>Благовещенская ТЭЦ (с. Чигири)</v>
      </c>
      <c r="M12" s="4814" t="str">
        <f>IF(M9="","",INDEX(DIFFERENTIATION_UNMERGE_SYSTEM,MATCH(M9,DIFFERENTIATION_ID_DIFF,0)))</f>
        <v>Котельная "Центральная" (с. Чигири ) </v>
      </c>
      <c r="N12" s="2753"/>
      <c r="AJ12" s="2257">
        <v>1</v>
      </c>
    </row>
    <row customHeight="1" ht="11.549999999999999">
      <c r="E13" s="2995" t="s">
        <v>318</v>
      </c>
      <c r="F13" s="2996"/>
      <c r="G13" s="2996"/>
      <c r="H13" s="2177"/>
      <c r="I13" s="2177"/>
      <c r="J13" s="4516"/>
      <c r="K13" s="4516"/>
      <c r="L13" s="4516"/>
      <c r="M13" s="4516"/>
      <c r="N13" s="2753"/>
      <c r="AJ13" s="2257">
        <v>11</v>
      </c>
    </row>
    <row customHeight="1" ht="24">
      <c r="E14" s="2265" t="s">
        <v>88</v>
      </c>
      <c r="F14" s="2260" t="s">
        <v>320</v>
      </c>
      <c r="G14" s="2260" t="s">
        <v>584</v>
      </c>
      <c r="H14" s="2260" t="s">
        <v>321</v>
      </c>
      <c r="I14" s="2260" t="s">
        <v>321</v>
      </c>
      <c r="J14" s="4475" t="s">
        <v>321</v>
      </c>
      <c r="K14" s="4475" t="s">
        <v>321</v>
      </c>
      <c r="L14" s="4475" t="s">
        <v>321</v>
      </c>
      <c r="M14" s="4475" t="s">
        <v>321</v>
      </c>
      <c r="N14" s="2753"/>
      <c r="AJ14" s="2257">
        <v>23</v>
      </c>
    </row>
    <row customHeight="1" ht="19.95">
      <c r="D15" s="2264"/>
      <c r="E15" s="2256" t="s">
        <v>118</v>
      </c>
      <c r="F15" s="1333" t="s">
        <v>726</v>
      </c>
      <c r="G15" s="2272" t="s">
        <v>570</v>
      </c>
      <c r="H15" s="1183"/>
      <c r="I15" s="1183"/>
      <c r="J15" s="4521"/>
      <c r="K15" s="4521"/>
      <c r="L15" s="4521"/>
      <c r="M15" s="4521"/>
      <c r="N15" s="915" t="s">
        <v>727</v>
      </c>
      <c r="O15" s="1169" t="s">
        <v>652</v>
      </c>
      <c r="AJ15" s="2257">
        <v>19</v>
      </c>
    </row>
    <row customHeight="1" ht="35.699999999999996">
      <c r="D16" s="2264"/>
      <c r="E16" s="2256" t="s">
        <v>102</v>
      </c>
      <c r="F16" s="1333" t="s">
        <v>728</v>
      </c>
      <c r="G16" s="2272" t="s">
        <v>570</v>
      </c>
      <c r="H16" s="1184">
        <f>SUM(H17,H20:H32)</f>
        <v>0</v>
      </c>
      <c r="I16" s="1184">
        <f>SUM(I17,I20,I23,I26,I29:I32)</f>
        <v>0</v>
      </c>
      <c r="J16" s="4523">
        <f>SUM(J17,J20:J32)</f>
        <v>0</v>
      </c>
      <c r="K16" s="4523">
        <f>SUM(K17,K20:K32)</f>
        <v>0</v>
      </c>
      <c r="L16" s="4523">
        <f>SUM(L17,L20:L32)</f>
        <v>0</v>
      </c>
      <c r="M16" s="4523">
        <f>SUM(M17,M20:M32)</f>
        <v>0</v>
      </c>
      <c r="N16" s="915" t="s">
        <v>729</v>
      </c>
      <c r="O16" s="1169" t="s">
        <v>652</v>
      </c>
      <c r="AJ16" s="2257">
        <v>34</v>
      </c>
    </row>
    <row customHeight="1" ht="19.95">
      <c r="D17" s="2264"/>
      <c r="E17" s="2290" t="s">
        <v>730</v>
      </c>
      <c r="F17" s="1580" t="s">
        <v>731</v>
      </c>
      <c r="G17" s="2269" t="s">
        <v>570</v>
      </c>
      <c r="H17" s="1183"/>
      <c r="I17" s="1183"/>
      <c r="J17" s="4521"/>
      <c r="K17" s="4521"/>
      <c r="L17" s="4521"/>
      <c r="M17" s="4521"/>
      <c r="N17" s="915" t="s">
        <v>732</v>
      </c>
      <c r="O17" s="1169"/>
      <c r="AJ17" s="2257">
        <v>19</v>
      </c>
    </row>
    <row customHeight="1" ht="24">
      <c r="D18" s="2264"/>
      <c r="E18" s="2290" t="s">
        <v>733</v>
      </c>
      <c r="F18" s="2276" t="s">
        <v>734</v>
      </c>
      <c r="G18" s="2269" t="s">
        <v>570</v>
      </c>
      <c r="H18" s="1183"/>
      <c r="I18" s="1183"/>
      <c r="J18" s="4521"/>
      <c r="K18" s="4521"/>
      <c r="L18" s="4521"/>
      <c r="M18" s="4521"/>
      <c r="N18" s="915" t="s">
        <v>735</v>
      </c>
      <c r="O18" s="1169"/>
      <c r="AJ18" s="2257">
        <v>23</v>
      </c>
    </row>
    <row customHeight="1" ht="35.699999999999996">
      <c r="D19" s="2264"/>
      <c r="E19" s="2290" t="s">
        <v>736</v>
      </c>
      <c r="F19" s="2276" t="s">
        <v>737</v>
      </c>
      <c r="G19" s="2269" t="s">
        <v>570</v>
      </c>
      <c r="H19" s="1183"/>
      <c r="I19" s="1183"/>
      <c r="J19" s="4521"/>
      <c r="K19" s="4521"/>
      <c r="L19" s="4521"/>
      <c r="M19" s="4521"/>
      <c r="N19" s="915"/>
      <c r="O19" s="1169"/>
      <c r="AJ19" s="2257">
        <v>34</v>
      </c>
    </row>
    <row customHeight="1" ht="19.95">
      <c r="D20" s="2264"/>
      <c r="E20" s="2290" t="s">
        <v>325</v>
      </c>
      <c r="F20" s="1580" t="s">
        <v>738</v>
      </c>
      <c r="G20" s="2269" t="s">
        <v>570</v>
      </c>
      <c r="H20" s="1183"/>
      <c r="I20" s="1183"/>
      <c r="J20" s="4521"/>
      <c r="K20" s="4521"/>
      <c r="L20" s="4521"/>
      <c r="M20" s="4521"/>
      <c r="N20" s="915" t="s">
        <v>739</v>
      </c>
      <c r="O20" s="1169"/>
      <c r="AJ20" s="2257">
        <v>19</v>
      </c>
    </row>
    <row customHeight="1" ht="19.95">
      <c r="D21" s="2264"/>
      <c r="E21" s="2290" t="s">
        <v>740</v>
      </c>
      <c r="F21" s="2276" t="s">
        <v>741</v>
      </c>
      <c r="G21" s="2269" t="s">
        <v>570</v>
      </c>
      <c r="H21" s="1183"/>
      <c r="I21" s="1183"/>
      <c r="J21" s="4521"/>
      <c r="K21" s="4521"/>
      <c r="L21" s="4521"/>
      <c r="M21" s="4521"/>
      <c r="N21" s="915"/>
      <c r="O21" s="1169"/>
      <c r="AJ21" s="2257">
        <v>19</v>
      </c>
    </row>
    <row customHeight="1" ht="19.95">
      <c r="D22" s="2264"/>
      <c r="E22" s="2290" t="s">
        <v>742</v>
      </c>
      <c r="F22" s="2276" t="s">
        <v>743</v>
      </c>
      <c r="G22" s="2269" t="s">
        <v>570</v>
      </c>
      <c r="H22" s="1183"/>
      <c r="I22" s="1183"/>
      <c r="J22" s="4521"/>
      <c r="K22" s="4521"/>
      <c r="L22" s="4521"/>
      <c r="M22" s="4521"/>
      <c r="N22" s="915"/>
      <c r="O22" s="1169"/>
      <c r="AJ22" s="2257">
        <v>19</v>
      </c>
    </row>
    <row customHeight="1" ht="24">
      <c r="D23" s="2264"/>
      <c r="E23" s="2290" t="s">
        <v>328</v>
      </c>
      <c r="F23" s="1580" t="s">
        <v>744</v>
      </c>
      <c r="G23" s="2269" t="s">
        <v>570</v>
      </c>
      <c r="H23" s="1183"/>
      <c r="I23" s="1183"/>
      <c r="J23" s="4521"/>
      <c r="K23" s="4521"/>
      <c r="L23" s="4521"/>
      <c r="M23" s="4521"/>
      <c r="N23" s="915" t="s">
        <v>745</v>
      </c>
      <c r="O23" s="1169"/>
      <c r="AJ23" s="2257">
        <v>23</v>
      </c>
    </row>
    <row customHeight="1" ht="19.95">
      <c r="D24" s="2264"/>
      <c r="E24" s="2290" t="s">
        <v>746</v>
      </c>
      <c r="F24" s="2276" t="s">
        <v>747</v>
      </c>
      <c r="G24" s="2269" t="s">
        <v>570</v>
      </c>
      <c r="H24" s="1183"/>
      <c r="I24" s="1183"/>
      <c r="J24" s="4521"/>
      <c r="K24" s="4521"/>
      <c r="L24" s="4521"/>
      <c r="M24" s="4521"/>
      <c r="N24" s="915"/>
      <c r="O24" s="1169"/>
      <c r="AJ24" s="2257">
        <v>19</v>
      </c>
    </row>
    <row customHeight="1" ht="35.699999999999996">
      <c r="D25" s="2264"/>
      <c r="E25" s="2290" t="s">
        <v>748</v>
      </c>
      <c r="F25" s="2276" t="s">
        <v>749</v>
      </c>
      <c r="G25" s="2269" t="s">
        <v>570</v>
      </c>
      <c r="H25" s="1183"/>
      <c r="I25" s="1183"/>
      <c r="J25" s="4521"/>
      <c r="K25" s="4521"/>
      <c r="L25" s="4521"/>
      <c r="M25" s="4521"/>
      <c r="N25" s="915"/>
      <c r="O25" s="1169"/>
      <c r="AJ25" s="2257">
        <v>34</v>
      </c>
    </row>
    <row customHeight="1" ht="24">
      <c r="D26" s="2264"/>
      <c r="E26" s="2290" t="s">
        <v>750</v>
      </c>
      <c r="F26" s="1580" t="s">
        <v>751</v>
      </c>
      <c r="G26" s="2269" t="s">
        <v>570</v>
      </c>
      <c r="H26" s="1183"/>
      <c r="I26" s="1183"/>
      <c r="J26" s="4521"/>
      <c r="K26" s="4521"/>
      <c r="L26" s="4521"/>
      <c r="M26" s="4521"/>
      <c r="N26" s="915" t="s">
        <v>752</v>
      </c>
      <c r="O26" s="1169"/>
      <c r="AJ26" s="2257">
        <v>23</v>
      </c>
    </row>
    <row customHeight="1" ht="19.95">
      <c r="D27" s="2264"/>
      <c r="E27" s="2301" t="s">
        <v>753</v>
      </c>
      <c r="F27" s="2276" t="s">
        <v>754</v>
      </c>
      <c r="G27" s="2280" t="s">
        <v>570</v>
      </c>
      <c r="H27" s="2302"/>
      <c r="I27" s="2302"/>
      <c r="J27" s="4821"/>
      <c r="K27" s="4821"/>
      <c r="L27" s="4821"/>
      <c r="M27" s="4821"/>
      <c r="N27" s="915"/>
      <c r="O27" s="1169"/>
      <c r="AJ27" s="2257">
        <v>19</v>
      </c>
    </row>
    <row customHeight="1" ht="19.95">
      <c r="D28" s="2264"/>
      <c r="E28" s="2301" t="s">
        <v>755</v>
      </c>
      <c r="F28" s="2276" t="s">
        <v>756</v>
      </c>
      <c r="G28" s="2280" t="s">
        <v>570</v>
      </c>
      <c r="H28" s="2302"/>
      <c r="I28" s="2302"/>
      <c r="J28" s="4821"/>
      <c r="K28" s="4821"/>
      <c r="L28" s="4821"/>
      <c r="M28" s="4821"/>
      <c r="N28" s="915"/>
      <c r="O28" s="1169"/>
      <c r="AJ28" s="2257">
        <v>19</v>
      </c>
    </row>
    <row customHeight="1" ht="19.95">
      <c r="D29" s="2264"/>
      <c r="E29" s="2301" t="s">
        <v>757</v>
      </c>
      <c r="F29" s="1580" t="s">
        <v>758</v>
      </c>
      <c r="G29" s="2280" t="s">
        <v>570</v>
      </c>
      <c r="H29" s="2302"/>
      <c r="I29" s="2302"/>
      <c r="J29" s="4821"/>
      <c r="K29" s="4821"/>
      <c r="L29" s="4821"/>
      <c r="M29" s="4821"/>
      <c r="N29" s="915"/>
      <c r="O29" s="1169"/>
      <c r="AJ29" s="2257">
        <v>19</v>
      </c>
    </row>
    <row customHeight="1" ht="19.95">
      <c r="D30" s="2264"/>
      <c r="E30" s="2301" t="s">
        <v>759</v>
      </c>
      <c r="F30" s="1580" t="s">
        <v>760</v>
      </c>
      <c r="G30" s="2280" t="s">
        <v>570</v>
      </c>
      <c r="H30" s="2302"/>
      <c r="I30" s="2302"/>
      <c r="J30" s="4821"/>
      <c r="K30" s="4821"/>
      <c r="L30" s="4821"/>
      <c r="M30" s="4821"/>
      <c r="N30" s="915"/>
      <c r="O30" s="1169"/>
      <c r="AJ30" s="2257">
        <v>19</v>
      </c>
    </row>
    <row customHeight="1" ht="19.95">
      <c r="D31" s="2264"/>
      <c r="E31" s="2301" t="s">
        <v>761</v>
      </c>
      <c r="F31" s="1580" t="s">
        <v>762</v>
      </c>
      <c r="G31" s="2280" t="s">
        <v>570</v>
      </c>
      <c r="H31" s="2302"/>
      <c r="I31" s="2302"/>
      <c r="J31" s="4821"/>
      <c r="K31" s="4821"/>
      <c r="L31" s="4821"/>
      <c r="M31" s="4821"/>
      <c r="N31" s="915"/>
      <c r="O31" s="1169"/>
      <c r="AJ31" s="2257">
        <v>19</v>
      </c>
    </row>
    <row s="34657" customFormat="1" customHeight="1" ht="35.699999999999996">
      <c r="A32" s="1613"/>
      <c r="C32" s="2262"/>
      <c r="D32" s="2264"/>
      <c r="E32" s="2301" t="s">
        <v>763</v>
      </c>
      <c r="F32" s="1580" t="s">
        <v>764</v>
      </c>
      <c r="G32" s="2270" t="s">
        <v>570</v>
      </c>
      <c r="H32" s="1205">
        <f>SUM(H33:H34)</f>
        <v>0</v>
      </c>
      <c r="I32" s="1205">
        <f>SUM(I33:I34)</f>
        <v>0</v>
      </c>
      <c r="J32" s="4561">
        <f>SUM(J33:J34)</f>
        <v>0</v>
      </c>
      <c r="K32" s="4561">
        <f>SUM(K33:K34)</f>
        <v>0</v>
      </c>
      <c r="L32" s="4561">
        <f>SUM(L33:L34)</f>
        <v>0</v>
      </c>
      <c r="M32" s="4561">
        <f>SUM(M33:M34)</f>
        <v>0</v>
      </c>
      <c r="N32" s="915" t="s">
        <v>765</v>
      </c>
      <c r="O32" s="1169"/>
      <c r="P32" s="2262"/>
      <c r="Q32" s="2262"/>
      <c r="V32" s="2262"/>
      <c r="Y32" s="1170"/>
      <c r="AE32" s="2258"/>
      <c r="AF32" s="2258"/>
      <c r="AG32" s="2258"/>
      <c r="AH32" s="2258"/>
      <c r="AI32" s="2258"/>
      <c r="AJ32" s="1786">
        <v>34</v>
      </c>
    </row>
    <row s="34658" customFormat="1" customHeight="1" ht="1.05">
      <c r="A33" s="1793"/>
      <c r="D33" s="1174"/>
      <c r="E33" s="1428" t="str">
        <f>E32&amp;".0"</f>
        <v>2.8.0</v>
      </c>
      <c r="F33" s="1617"/>
      <c r="G33" s="1177"/>
      <c r="H33" s="1618"/>
      <c r="I33" s="1618"/>
      <c r="J33" s="4564"/>
      <c r="K33" s="4564"/>
      <c r="L33" s="4564"/>
      <c r="M33" s="4564"/>
      <c r="N33" s="1619"/>
      <c r="AJ33" s="2262">
        <v>1</v>
      </c>
    </row>
    <row s="34657" customFormat="1" customHeight="1" ht="19.95">
      <c r="A34" s="1613"/>
      <c r="C34" s="2262"/>
      <c r="D34" s="2259"/>
      <c r="E34" s="1196"/>
      <c r="F34" s="2292" t="s">
        <v>595</v>
      </c>
      <c r="G34" s="1198"/>
      <c r="H34" s="1199"/>
      <c r="I34" s="1199"/>
      <c r="J34" s="4824"/>
      <c r="K34" s="4825"/>
      <c r="L34" s="4826"/>
      <c r="M34" s="4827"/>
      <c r="N34" s="927" t="s">
        <v>766</v>
      </c>
      <c r="O34" s="1169"/>
      <c r="P34" s="2262"/>
      <c r="Q34" s="2262"/>
      <c r="V34" s="2262"/>
      <c r="Y34" s="1170"/>
      <c r="AE34" s="2258"/>
      <c r="AF34" s="2258"/>
      <c r="AG34" s="2258"/>
      <c r="AH34" s="2258"/>
      <c r="AI34" s="2258"/>
      <c r="AJ34" s="1786">
        <v>19</v>
      </c>
    </row>
    <row customHeight="1" ht="60">
      <c r="D35" s="2264"/>
      <c r="E35" s="2301" t="s">
        <v>767</v>
      </c>
      <c r="F35" s="1580" t="s">
        <v>768</v>
      </c>
      <c r="G35" s="2280" t="s">
        <v>570</v>
      </c>
      <c r="H35" s="2302"/>
      <c r="I35" s="2302"/>
      <c r="J35" s="4821"/>
      <c r="K35" s="4821"/>
      <c r="L35" s="4821"/>
      <c r="M35" s="4821"/>
      <c r="N35" s="915" t="s">
        <v>769</v>
      </c>
      <c r="O35" s="1169"/>
      <c r="AJ35" s="2257">
        <v>57</v>
      </c>
    </row>
    <row s="34657" customFormat="1" customHeight="1" ht="24">
      <c r="A36" s="1615" t="s">
        <v>596</v>
      </c>
      <c r="C36" s="2262"/>
      <c r="D36" s="2264"/>
      <c r="E36" s="2290" t="s">
        <v>90</v>
      </c>
      <c r="F36" s="1333" t="s">
        <v>770</v>
      </c>
      <c r="G36" s="2269" t="s">
        <v>570</v>
      </c>
      <c r="H36" s="1183"/>
      <c r="I36" s="1183"/>
      <c r="J36" s="4521"/>
      <c r="K36" s="4521"/>
      <c r="L36" s="4521"/>
      <c r="M36" s="4521"/>
      <c r="N36" s="915" t="s">
        <v>771</v>
      </c>
      <c r="O36" s="1169"/>
      <c r="P36" s="2262"/>
      <c r="Q36" s="2262"/>
      <c r="V36" s="2262"/>
      <c r="Y36" s="1170"/>
      <c r="AE36" s="2258"/>
      <c r="AF36" s="2258"/>
      <c r="AG36" s="2258"/>
      <c r="AH36" s="2258"/>
      <c r="AI36" s="2258"/>
      <c r="AJ36" s="1786">
        <v>23</v>
      </c>
    </row>
    <row s="34657" customFormat="1" customHeight="1" ht="35.699999999999996">
      <c r="A37" s="1615"/>
      <c r="C37" s="2262"/>
      <c r="D37" s="2264"/>
      <c r="E37" s="2290" t="s">
        <v>342</v>
      </c>
      <c r="F37" s="1580" t="s">
        <v>772</v>
      </c>
      <c r="G37" s="2280"/>
      <c r="H37" s="1183"/>
      <c r="I37" s="1183"/>
      <c r="J37" s="4521"/>
      <c r="K37" s="4521"/>
      <c r="L37" s="4521"/>
      <c r="M37" s="4521"/>
      <c r="N37" s="915"/>
      <c r="O37" s="1169"/>
      <c r="P37" s="2262"/>
      <c r="Q37" s="2262"/>
      <c r="V37" s="2262"/>
      <c r="Y37" s="1170"/>
      <c r="AE37" s="2258"/>
      <c r="AF37" s="2258"/>
      <c r="AG37" s="2258"/>
      <c r="AH37" s="2258"/>
      <c r="AI37" s="2258"/>
      <c r="AJ37" s="1786">
        <v>34</v>
      </c>
    </row>
    <row s="34657" customFormat="1" customHeight="1" ht="19.95">
      <c r="A38" s="1613"/>
      <c r="C38" s="2262"/>
      <c r="D38" s="1201"/>
      <c r="E38" s="2290" t="s">
        <v>91</v>
      </c>
      <c r="F38" s="1333" t="s">
        <v>773</v>
      </c>
      <c r="G38" s="2269" t="s">
        <v>570</v>
      </c>
      <c r="H38" s="1183"/>
      <c r="I38" s="1183"/>
      <c r="J38" s="4521"/>
      <c r="K38" s="4521"/>
      <c r="L38" s="4521"/>
      <c r="M38" s="4521"/>
      <c r="N38" s="915" t="s">
        <v>774</v>
      </c>
      <c r="O38" s="1169"/>
      <c r="P38" s="2262"/>
      <c r="Q38" s="2262"/>
      <c r="V38" s="2262"/>
      <c r="Y38" s="1170"/>
      <c r="AE38" s="2258"/>
      <c r="AF38" s="2258"/>
      <c r="AG38" s="2258"/>
      <c r="AH38" s="2258"/>
      <c r="AI38" s="2258"/>
      <c r="AJ38" s="1786">
        <v>19</v>
      </c>
    </row>
    <row s="34657" customFormat="1" customHeight="1" ht="24">
      <c r="A39" s="1613"/>
      <c r="C39" s="2262"/>
      <c r="D39" s="1201"/>
      <c r="E39" s="2290" t="s">
        <v>775</v>
      </c>
      <c r="F39" s="1580" t="s">
        <v>776</v>
      </c>
      <c r="G39" s="2280" t="s">
        <v>570</v>
      </c>
      <c r="H39" s="1183"/>
      <c r="I39" s="1183"/>
      <c r="J39" s="4521"/>
      <c r="K39" s="4521"/>
      <c r="L39" s="4521"/>
      <c r="M39" s="4521"/>
      <c r="N39" s="915" t="s">
        <v>777</v>
      </c>
      <c r="O39" s="1169"/>
      <c r="P39" s="2262"/>
      <c r="Q39" s="2262"/>
      <c r="V39" s="2262"/>
      <c r="Y39" s="1170"/>
      <c r="AE39" s="2258"/>
      <c r="AF39" s="2258"/>
      <c r="AG39" s="2258"/>
      <c r="AH39" s="2258"/>
      <c r="AI39" s="2258"/>
      <c r="AJ39" s="1786">
        <v>23</v>
      </c>
    </row>
    <row s="34657" customFormat="1" customHeight="1" ht="24">
      <c r="A40" s="1613"/>
      <c r="C40" s="2262"/>
      <c r="D40" s="2264"/>
      <c r="E40" s="2290" t="s">
        <v>778</v>
      </c>
      <c r="F40" s="2276" t="s">
        <v>779</v>
      </c>
      <c r="G40" s="2269" t="s">
        <v>570</v>
      </c>
      <c r="H40" s="1183"/>
      <c r="I40" s="1183"/>
      <c r="J40" s="4521"/>
      <c r="K40" s="4521"/>
      <c r="L40" s="4521"/>
      <c r="M40" s="4521"/>
      <c r="N40" s="915" t="s">
        <v>780</v>
      </c>
      <c r="O40" s="1169"/>
      <c r="P40" s="2262"/>
      <c r="Q40" s="2262"/>
      <c r="V40" s="2262"/>
      <c r="Y40" s="1170"/>
      <c r="AE40" s="2258"/>
      <c r="AF40" s="2258"/>
      <c r="AG40" s="2258"/>
      <c r="AH40" s="2258"/>
      <c r="AI40" s="2258"/>
      <c r="AJ40" s="1786">
        <v>23</v>
      </c>
    </row>
    <row s="34657" customFormat="1" customHeight="1" ht="24">
      <c r="A41" s="1613"/>
      <c r="C41" s="2262"/>
      <c r="D41" s="2264"/>
      <c r="E41" s="2290" t="s">
        <v>781</v>
      </c>
      <c r="F41" s="2276" t="s">
        <v>782</v>
      </c>
      <c r="G41" s="2269" t="s">
        <v>570</v>
      </c>
      <c r="H41" s="1183"/>
      <c r="I41" s="1183"/>
      <c r="J41" s="4521"/>
      <c r="K41" s="4521"/>
      <c r="L41" s="4521"/>
      <c r="M41" s="4521"/>
      <c r="N41" s="915" t="s">
        <v>783</v>
      </c>
      <c r="O41" s="1169"/>
      <c r="P41" s="2262"/>
      <c r="Q41" s="2262"/>
      <c r="V41" s="2262"/>
      <c r="Y41" s="1170"/>
      <c r="AE41" s="2258"/>
      <c r="AF41" s="2258"/>
      <c r="AG41" s="2258"/>
      <c r="AH41" s="2258"/>
      <c r="AI41" s="2258"/>
      <c r="AJ41" s="1786">
        <v>23</v>
      </c>
    </row>
    <row s="34657" customFormat="1" customHeight="1" ht="24">
      <c r="A42" s="1613"/>
      <c r="C42" s="2262"/>
      <c r="D42" s="2264"/>
      <c r="E42" s="2290" t="s">
        <v>784</v>
      </c>
      <c r="F42" s="2276" t="s">
        <v>785</v>
      </c>
      <c r="G42" s="2269" t="s">
        <v>570</v>
      </c>
      <c r="H42" s="1183"/>
      <c r="I42" s="1183"/>
      <c r="J42" s="4521"/>
      <c r="K42" s="4521"/>
      <c r="L42" s="4521"/>
      <c r="M42" s="4521"/>
      <c r="N42" s="915" t="s">
        <v>786</v>
      </c>
      <c r="O42" s="1169"/>
      <c r="P42" s="2262"/>
      <c r="Q42" s="2262"/>
      <c r="V42" s="2262"/>
      <c r="Y42" s="1170"/>
      <c r="AE42" s="2258"/>
      <c r="AF42" s="2258"/>
      <c r="AG42" s="2258"/>
      <c r="AH42" s="2258"/>
      <c r="AI42" s="2258"/>
      <c r="AJ42" s="1786">
        <v>23</v>
      </c>
    </row>
    <row s="34657" customFormat="1" customHeight="1" ht="35.699999999999996">
      <c r="A43" s="1613"/>
      <c r="C43" s="2262" t="s">
        <v>606</v>
      </c>
      <c r="D43" s="2264"/>
      <c r="E43" s="2290" t="s">
        <v>119</v>
      </c>
      <c r="F43" s="1333" t="s">
        <v>651</v>
      </c>
      <c r="G43" s="2272" t="s">
        <v>787</v>
      </c>
      <c r="H43" s="1027"/>
      <c r="I43" s="1027"/>
      <c r="J43" s="4637"/>
      <c r="K43" s="4637"/>
      <c r="L43" s="4637"/>
      <c r="M43" s="4637"/>
      <c r="N43" s="915" t="s">
        <v>788</v>
      </c>
      <c r="O43" s="1169"/>
      <c r="P43" s="2262"/>
      <c r="Q43" s="2262"/>
      <c r="V43" s="2262"/>
      <c r="Y43" s="1170"/>
      <c r="AE43" s="2258"/>
      <c r="AF43" s="2258"/>
      <c r="AG43" s="2258"/>
      <c r="AH43" s="2258"/>
      <c r="AI43" s="2258"/>
      <c r="AJ43" s="1786">
        <v>34</v>
      </c>
    </row>
    <row s="34657" customFormat="1" customHeight="1" ht="35.699999999999996">
      <c r="A44" s="1613"/>
      <c r="C44" s="2262"/>
      <c r="D44" s="2264"/>
      <c r="E44" s="2290" t="s">
        <v>92</v>
      </c>
      <c r="F44" s="1333" t="s">
        <v>789</v>
      </c>
      <c r="G44" s="2269" t="s">
        <v>790</v>
      </c>
      <c r="H44" s="1171"/>
      <c r="I44" s="1171"/>
      <c r="J44" s="4497"/>
      <c r="K44" s="4497"/>
      <c r="L44" s="4497"/>
      <c r="M44" s="4497"/>
      <c r="N44" s="915" t="s">
        <v>791</v>
      </c>
      <c r="O44" s="1169"/>
      <c r="P44" s="2262"/>
      <c r="Q44" s="2262"/>
      <c r="V44" s="2262"/>
      <c r="Y44" s="1170"/>
      <c r="AE44" s="2258"/>
      <c r="AF44" s="2258"/>
      <c r="AG44" s="2258"/>
      <c r="AH44" s="2258"/>
      <c r="AI44" s="2258"/>
      <c r="AJ44" s="1786">
        <v>34</v>
      </c>
    </row>
    <row s="34657" customFormat="1" customHeight="1" ht="24">
      <c r="A45" s="1613"/>
      <c r="C45" s="2262"/>
      <c r="D45" s="2264"/>
      <c r="E45" s="2290" t="s">
        <v>93</v>
      </c>
      <c r="F45" s="1333" t="s">
        <v>792</v>
      </c>
      <c r="G45" s="2280" t="s">
        <v>793</v>
      </c>
      <c r="H45" s="1171"/>
      <c r="I45" s="1171"/>
      <c r="J45" s="4497"/>
      <c r="K45" s="4497"/>
      <c r="L45" s="4497"/>
      <c r="M45" s="4497"/>
      <c r="N45" s="915" t="s">
        <v>794</v>
      </c>
      <c r="O45" s="1169"/>
      <c r="P45" s="2262"/>
      <c r="Q45" s="2262"/>
      <c r="V45" s="2262"/>
      <c r="Y45" s="1170"/>
      <c r="AE45" s="2258"/>
      <c r="AF45" s="2258"/>
      <c r="AG45" s="2258"/>
      <c r="AH45" s="2258"/>
      <c r="AI45" s="2258"/>
      <c r="AJ45" s="1786">
        <v>23</v>
      </c>
    </row>
    <row s="34657" customFormat="1" customHeight="1" ht="19.95">
      <c r="A46" s="1613"/>
      <c r="C46" s="2262"/>
      <c r="D46" s="2264"/>
      <c r="E46" s="2290" t="s">
        <v>120</v>
      </c>
      <c r="F46" s="1333" t="s">
        <v>795</v>
      </c>
      <c r="G46" s="2269" t="s">
        <v>608</v>
      </c>
      <c r="H46" s="1203"/>
      <c r="I46" s="1203"/>
      <c r="J46" s="4552"/>
      <c r="K46" s="4552"/>
      <c r="L46" s="4552"/>
      <c r="M46" s="4552"/>
      <c r="N46" s="915"/>
      <c r="O46" s="1169"/>
      <c r="P46" s="2262"/>
      <c r="Q46" s="2262"/>
      <c r="V46" s="2262"/>
      <c r="Y46" s="1170"/>
      <c r="AE46" s="2258"/>
      <c r="AF46" s="2258"/>
      <c r="AG46" s="2258"/>
      <c r="AH46" s="2258"/>
      <c r="AI46" s="2258"/>
      <c r="AJ46" s="1786">
        <v>19</v>
      </c>
    </row>
    <row customHeight="1" ht="11.549999999999999">
      <c r="D47" s="2264"/>
      <c r="J47" s="4469"/>
      <c r="K47" s="4469"/>
      <c r="L47" s="4469"/>
      <c r="M47" s="4469"/>
      <c r="AJ47" s="2257">
        <v>11</v>
      </c>
    </row>
    <row s="35197" customFormat="1" customHeight="1" ht="11.549999999999999">
      <c r="A48" s="1613"/>
      <c r="B48" s="2262"/>
      <c r="C48" s="2262"/>
      <c r="D48" s="977"/>
      <c r="J48" s="4642"/>
      <c r="K48" s="4642"/>
      <c r="L48" s="4642"/>
      <c r="M48" s="4642"/>
      <c r="O48" s="1786"/>
      <c r="P48" s="2262"/>
      <c r="Q48" s="2262"/>
      <c r="R48" s="1786"/>
      <c r="S48" s="1786"/>
      <c r="T48" s="1786"/>
      <c r="U48" s="1786"/>
      <c r="V48" s="2262"/>
      <c r="W48" s="1786"/>
      <c r="X48" s="1786"/>
      <c r="Y48" s="1170"/>
      <c r="Z48" s="1786"/>
      <c r="AA48" s="1786"/>
      <c r="AB48" s="1786"/>
      <c r="AC48" s="1786"/>
      <c r="AD48" s="1786"/>
      <c r="AE48" s="2258"/>
      <c r="AF48" s="1192"/>
      <c r="AG48" s="1192"/>
      <c r="AH48" s="1192"/>
      <c r="AI48" s="1192"/>
      <c r="AJ48" s="2267">
        <v>11</v>
      </c>
    </row>
    <row s="35197" customFormat="1" customHeight="1" ht="11.549999999999999">
      <c r="A49" s="1613"/>
      <c r="B49" s="2262"/>
      <c r="C49" s="2262"/>
      <c r="D49" s="977"/>
      <c r="J49" s="4642"/>
      <c r="K49" s="4642"/>
      <c r="L49" s="4642"/>
      <c r="M49" s="4642"/>
      <c r="O49" s="1786"/>
      <c r="P49" s="2262"/>
      <c r="Q49" s="2262"/>
      <c r="R49" s="1786"/>
      <c r="S49" s="1786"/>
      <c r="T49" s="1786"/>
      <c r="U49" s="1786"/>
      <c r="V49" s="2262"/>
      <c r="W49" s="1786"/>
      <c r="X49" s="1786"/>
      <c r="Y49" s="1170"/>
      <c r="Z49" s="1786"/>
      <c r="AA49" s="1786"/>
      <c r="AB49" s="1786"/>
      <c r="AC49" s="1786"/>
      <c r="AD49" s="1786"/>
      <c r="AE49" s="2258"/>
      <c r="AF49" s="1192"/>
      <c r="AG49" s="1192"/>
      <c r="AH49" s="1192"/>
      <c r="AI49" s="1192"/>
      <c r="AJ49" s="2267">
        <v>11</v>
      </c>
    </row>
    <row s="35197" customFormat="1" customHeight="1" ht="11.549999999999999">
      <c r="A50" s="1613"/>
      <c r="B50" s="2262"/>
      <c r="C50" s="2262"/>
      <c r="D50" s="977"/>
      <c r="H50" s="1192"/>
      <c r="I50" s="1192"/>
      <c r="J50" s="4643"/>
      <c r="K50" s="4643"/>
      <c r="L50" s="4643"/>
      <c r="M50" s="4643"/>
      <c r="O50" s="1786"/>
      <c r="P50" s="2262"/>
      <c r="Q50" s="2262"/>
      <c r="R50" s="1786"/>
      <c r="S50" s="1786"/>
      <c r="T50" s="1786"/>
      <c r="U50" s="1786"/>
      <c r="V50" s="2262"/>
      <c r="W50" s="1786"/>
      <c r="X50" s="1786"/>
      <c r="Y50" s="1170"/>
      <c r="Z50" s="1786"/>
      <c r="AA50" s="1786"/>
      <c r="AB50" s="1786"/>
      <c r="AC50" s="1786"/>
      <c r="AD50" s="1786"/>
      <c r="AE50" s="2258"/>
      <c r="AF50" s="1192"/>
      <c r="AG50" s="1192"/>
      <c r="AH50" s="1192"/>
      <c r="AI50" s="1192"/>
      <c r="AJ50" s="2267">
        <v>11</v>
      </c>
    </row>
    <row s="35197" customFormat="1" customHeight="1" ht="11.549999999999999">
      <c r="A51" s="1613"/>
      <c r="B51" s="2262"/>
      <c r="C51" s="2262"/>
      <c r="D51" s="977"/>
      <c r="J51" s="4642"/>
      <c r="K51" s="4642"/>
      <c r="L51" s="4642"/>
      <c r="M51" s="4642"/>
      <c r="O51" s="1786"/>
      <c r="P51" s="2262"/>
      <c r="Q51" s="2262"/>
      <c r="R51" s="1786"/>
      <c r="S51" s="1786"/>
      <c r="T51" s="1786"/>
      <c r="U51" s="1786"/>
      <c r="V51" s="2262"/>
      <c r="W51" s="1786"/>
      <c r="X51" s="1786"/>
      <c r="Y51" s="1170"/>
      <c r="Z51" s="1786"/>
      <c r="AA51" s="1786"/>
      <c r="AB51" s="1786"/>
      <c r="AC51" s="1786"/>
      <c r="AD51" s="1786"/>
      <c r="AE51" s="2258"/>
      <c r="AF51" s="1192"/>
      <c r="AG51" s="1192"/>
      <c r="AH51" s="1192"/>
      <c r="AI51" s="1192"/>
      <c r="AJ51" s="2267">
        <v>11</v>
      </c>
    </row>
    <row s="35197" customFormat="1" customHeight="1" ht="11.549999999999999">
      <c r="A52" s="1613"/>
      <c r="B52" s="2262"/>
      <c r="C52" s="2262"/>
      <c r="D52" s="977"/>
      <c r="J52" s="4642"/>
      <c r="K52" s="4642"/>
      <c r="L52" s="4642"/>
      <c r="M52" s="4642"/>
      <c r="O52" s="1786"/>
      <c r="P52" s="2262"/>
      <c r="Q52" s="2262"/>
      <c r="R52" s="1786"/>
      <c r="S52" s="1786"/>
      <c r="T52" s="1786"/>
      <c r="U52" s="1786"/>
      <c r="V52" s="2262"/>
      <c r="W52" s="1786"/>
      <c r="X52" s="1786"/>
      <c r="Y52" s="1170"/>
      <c r="Z52" s="1786"/>
      <c r="AA52" s="1786"/>
      <c r="AB52" s="1786"/>
      <c r="AC52" s="1786"/>
      <c r="AD52" s="1786"/>
      <c r="AE52" s="2258"/>
      <c r="AF52" s="1192"/>
      <c r="AG52" s="1192"/>
      <c r="AH52" s="1192"/>
      <c r="AI52" s="1192"/>
      <c r="AJ52" s="2267">
        <v>11</v>
      </c>
    </row>
    <row s="35197" customFormat="1" customHeight="1" ht="11.549999999999999">
      <c r="A53" s="1613"/>
      <c r="B53" s="2262"/>
      <c r="C53" s="2262"/>
      <c r="D53" s="977"/>
      <c r="J53" s="4642"/>
      <c r="K53" s="4642"/>
      <c r="L53" s="4642"/>
      <c r="M53" s="4642"/>
      <c r="O53" s="1786"/>
      <c r="P53" s="2262"/>
      <c r="Q53" s="2262"/>
      <c r="R53" s="1786"/>
      <c r="S53" s="1786"/>
      <c r="T53" s="1786"/>
      <c r="U53" s="1786"/>
      <c r="V53" s="2262"/>
      <c r="W53" s="1786"/>
      <c r="X53" s="1786"/>
      <c r="Y53" s="1170"/>
      <c r="Z53" s="1786"/>
      <c r="AA53" s="1786"/>
      <c r="AB53" s="1786"/>
      <c r="AC53" s="1786"/>
      <c r="AD53" s="1786"/>
      <c r="AE53" s="2258"/>
      <c r="AF53" s="1192"/>
      <c r="AG53" s="1192"/>
      <c r="AH53" s="1192"/>
      <c r="AI53" s="1192"/>
      <c r="AJ53" s="2267">
        <v>11</v>
      </c>
    </row>
    <row s="35197" customFormat="1" customHeight="1" ht="11.549999999999999">
      <c r="A54" s="1613"/>
      <c r="B54" s="2262"/>
      <c r="C54" s="2262"/>
      <c r="D54" s="977"/>
      <c r="J54" s="4642"/>
      <c r="K54" s="4642"/>
      <c r="L54" s="4642"/>
      <c r="M54" s="4642"/>
      <c r="O54" s="1786"/>
      <c r="P54" s="2262"/>
      <c r="Q54" s="2262"/>
      <c r="R54" s="1786"/>
      <c r="S54" s="1786"/>
      <c r="T54" s="1786"/>
      <c r="U54" s="1786"/>
      <c r="V54" s="2262"/>
      <c r="W54" s="1786"/>
      <c r="X54" s="1786"/>
      <c r="Y54" s="1170"/>
      <c r="Z54" s="1786"/>
      <c r="AA54" s="1786"/>
      <c r="AB54" s="1786"/>
      <c r="AC54" s="1786"/>
      <c r="AD54" s="1786"/>
      <c r="AE54" s="2258"/>
      <c r="AF54" s="1192"/>
      <c r="AG54" s="1192"/>
      <c r="AH54" s="1192"/>
      <c r="AI54" s="1192"/>
      <c r="AJ54" s="2267">
        <v>11</v>
      </c>
    </row>
    <row s="35197" customFormat="1" customHeight="1" ht="11.549999999999999">
      <c r="A55" s="1613"/>
      <c r="B55" s="2262"/>
      <c r="C55" s="2262"/>
      <c r="D55" s="977"/>
      <c r="J55" s="4642"/>
      <c r="K55" s="4642"/>
      <c r="L55" s="4642"/>
      <c r="M55" s="4642"/>
      <c r="O55" s="1786"/>
      <c r="P55" s="2262"/>
      <c r="Q55" s="2262"/>
      <c r="R55" s="1786"/>
      <c r="S55" s="1786"/>
      <c r="T55" s="1786"/>
      <c r="U55" s="1786"/>
      <c r="V55" s="2262"/>
      <c r="W55" s="1786"/>
      <c r="X55" s="1786"/>
      <c r="Y55" s="1170"/>
      <c r="Z55" s="1786"/>
      <c r="AA55" s="1786"/>
      <c r="AB55" s="1786"/>
      <c r="AC55" s="1786"/>
      <c r="AD55" s="1786"/>
      <c r="AE55" s="2258"/>
      <c r="AF55" s="1192"/>
      <c r="AG55" s="1192"/>
      <c r="AH55" s="1192"/>
      <c r="AI55" s="1192"/>
      <c r="AJ55" s="2267">
        <v>11</v>
      </c>
    </row>
    <row s="35197" customFormat="1" customHeight="1" ht="11.549999999999999">
      <c r="A56" s="1613"/>
      <c r="B56" s="2262"/>
      <c r="C56" s="2262"/>
      <c r="D56" s="977"/>
      <c r="J56" s="4642"/>
      <c r="K56" s="4642"/>
      <c r="L56" s="4642"/>
      <c r="M56" s="4642"/>
      <c r="O56" s="1786"/>
      <c r="P56" s="2262"/>
      <c r="Q56" s="2262"/>
      <c r="R56" s="1786"/>
      <c r="S56" s="1786"/>
      <c r="T56" s="1786"/>
      <c r="U56" s="1786"/>
      <c r="V56" s="2262"/>
      <c r="W56" s="1786"/>
      <c r="X56" s="1786"/>
      <c r="Y56" s="1170"/>
      <c r="Z56" s="1786"/>
      <c r="AA56" s="1786"/>
      <c r="AB56" s="1786"/>
      <c r="AC56" s="1786"/>
      <c r="AD56" s="1786"/>
      <c r="AE56" s="2258"/>
      <c r="AF56" s="1192"/>
      <c r="AG56" s="1192"/>
      <c r="AH56" s="1192"/>
      <c r="AI56" s="1192"/>
      <c r="AJ56" s="2267">
        <v>11</v>
      </c>
    </row>
    <row s="35197" customFormat="1" customHeight="1" ht="11.549999999999999">
      <c r="A57" s="1613"/>
      <c r="B57" s="2262"/>
      <c r="C57" s="2262"/>
      <c r="D57" s="977"/>
      <c r="J57" s="4642"/>
      <c r="K57" s="4642"/>
      <c r="L57" s="4642"/>
      <c r="M57" s="4642"/>
      <c r="O57" s="1786"/>
      <c r="P57" s="2262"/>
      <c r="Q57" s="2262"/>
      <c r="R57" s="1786"/>
      <c r="S57" s="1786"/>
      <c r="T57" s="1786"/>
      <c r="U57" s="1786"/>
      <c r="V57" s="2262"/>
      <c r="W57" s="1786"/>
      <c r="X57" s="1786"/>
      <c r="Y57" s="1170"/>
      <c r="Z57" s="1786"/>
      <c r="AA57" s="1786"/>
      <c r="AB57" s="1786"/>
      <c r="AC57" s="1786"/>
      <c r="AD57" s="1786"/>
      <c r="AE57" s="2258"/>
      <c r="AF57" s="1192"/>
      <c r="AG57" s="1192"/>
      <c r="AH57" s="1192"/>
      <c r="AI57" s="1192"/>
      <c r="AJ57" s="2267">
        <v>11</v>
      </c>
    </row>
    <row s="35197" customFormat="1" customHeight="1" ht="11.549999999999999">
      <c r="A58" s="1613"/>
      <c r="B58" s="2262"/>
      <c r="C58" s="2262"/>
      <c r="D58" s="977"/>
      <c r="J58" s="4642"/>
      <c r="K58" s="4642"/>
      <c r="L58" s="4642"/>
      <c r="M58" s="4642"/>
      <c r="O58" s="1786"/>
      <c r="P58" s="2262"/>
      <c r="Q58" s="2262"/>
      <c r="R58" s="1786"/>
      <c r="S58" s="1786"/>
      <c r="T58" s="1786"/>
      <c r="U58" s="1786"/>
      <c r="V58" s="2262"/>
      <c r="W58" s="1786"/>
      <c r="X58" s="1786"/>
      <c r="Y58" s="1170"/>
      <c r="Z58" s="1786"/>
      <c r="AA58" s="1786"/>
      <c r="AB58" s="1786"/>
      <c r="AC58" s="1786"/>
      <c r="AD58" s="1786"/>
      <c r="AE58" s="2258"/>
      <c r="AF58" s="1192"/>
      <c r="AG58" s="1192"/>
      <c r="AH58" s="1192"/>
      <c r="AI58" s="1192"/>
      <c r="AJ58" s="2267">
        <v>11</v>
      </c>
    </row>
    <row s="35197" customFormat="1" customHeight="1" ht="11.549999999999999">
      <c r="A59" s="1613"/>
      <c r="B59" s="2262"/>
      <c r="C59" s="2262"/>
      <c r="D59" s="977"/>
      <c r="J59" s="4642"/>
      <c r="K59" s="4642"/>
      <c r="L59" s="4642"/>
      <c r="M59" s="4642"/>
      <c r="O59" s="1786"/>
      <c r="P59" s="2262"/>
      <c r="Q59" s="2262"/>
      <c r="R59" s="1786"/>
      <c r="S59" s="1786"/>
      <c r="T59" s="1786"/>
      <c r="U59" s="1786"/>
      <c r="V59" s="2262"/>
      <c r="W59" s="1786"/>
      <c r="X59" s="1786"/>
      <c r="Y59" s="1170"/>
      <c r="Z59" s="1786"/>
      <c r="AA59" s="1786"/>
      <c r="AB59" s="1786"/>
      <c r="AC59" s="1786"/>
      <c r="AD59" s="1786"/>
      <c r="AE59" s="2258"/>
      <c r="AF59" s="1192"/>
      <c r="AG59" s="1192"/>
      <c r="AH59" s="1192"/>
      <c r="AI59" s="1192"/>
      <c r="AJ59" s="2267">
        <v>11</v>
      </c>
    </row>
    <row s="35197" customFormat="1" customHeight="1" ht="11.549999999999999">
      <c r="A60" s="1613"/>
      <c r="B60" s="2262"/>
      <c r="C60" s="2262"/>
      <c r="D60" s="977"/>
      <c r="J60" s="4642"/>
      <c r="K60" s="4642"/>
      <c r="L60" s="4642"/>
      <c r="M60" s="4642"/>
      <c r="O60" s="1786"/>
      <c r="P60" s="2262"/>
      <c r="Q60" s="2262"/>
      <c r="R60" s="1786"/>
      <c r="S60" s="1786"/>
      <c r="T60" s="1786"/>
      <c r="U60" s="1786"/>
      <c r="V60" s="2262"/>
      <c r="W60" s="1786"/>
      <c r="X60" s="1786"/>
      <c r="Y60" s="1170"/>
      <c r="Z60" s="1786"/>
      <c r="AA60" s="1786"/>
      <c r="AB60" s="1786"/>
      <c r="AC60" s="1786"/>
      <c r="AD60" s="1786"/>
      <c r="AE60" s="2258"/>
      <c r="AF60" s="1192"/>
      <c r="AG60" s="1192"/>
      <c r="AH60" s="1192"/>
      <c r="AI60" s="1192"/>
      <c r="AJ60" s="2267">
        <v>11</v>
      </c>
    </row>
    <row s="35197" customFormat="1" customHeight="1" ht="11.549999999999999">
      <c r="A61" s="1613"/>
      <c r="B61" s="2262"/>
      <c r="C61" s="2262"/>
      <c r="D61" s="977"/>
      <c r="J61" s="4642"/>
      <c r="K61" s="4642"/>
      <c r="L61" s="4642"/>
      <c r="M61" s="4642"/>
      <c r="O61" s="1786"/>
      <c r="P61" s="2262"/>
      <c r="Q61" s="2262"/>
      <c r="R61" s="1786"/>
      <c r="S61" s="1786"/>
      <c r="T61" s="1786"/>
      <c r="U61" s="1786"/>
      <c r="V61" s="2262"/>
      <c r="W61" s="1786"/>
      <c r="X61" s="1786"/>
      <c r="Y61" s="1170"/>
      <c r="Z61" s="1786"/>
      <c r="AA61" s="1786"/>
      <c r="AB61" s="1786"/>
      <c r="AC61" s="1786"/>
      <c r="AD61" s="1786"/>
      <c r="AE61" s="2258"/>
      <c r="AF61" s="1192"/>
      <c r="AG61" s="1192"/>
      <c r="AH61" s="1192"/>
      <c r="AI61" s="1192"/>
      <c r="AJ61" s="2267">
        <v>11</v>
      </c>
    </row>
    <row s="35197" customFormat="1" customHeight="1" ht="11.549999999999999">
      <c r="A62" s="1613"/>
      <c r="B62" s="2262"/>
      <c r="C62" s="2262"/>
      <c r="D62" s="977"/>
      <c r="J62" s="4642"/>
      <c r="K62" s="4642"/>
      <c r="L62" s="4642"/>
      <c r="M62" s="4642"/>
      <c r="O62" s="1786"/>
      <c r="P62" s="2262"/>
      <c r="Q62" s="2262"/>
      <c r="R62" s="1786"/>
      <c r="S62" s="1786"/>
      <c r="T62" s="1786"/>
      <c r="U62" s="1786"/>
      <c r="V62" s="2262"/>
      <c r="W62" s="1786"/>
      <c r="X62" s="1786"/>
      <c r="Y62" s="1170"/>
      <c r="Z62" s="1786"/>
      <c r="AA62" s="1786"/>
      <c r="AB62" s="1786"/>
      <c r="AC62" s="1786"/>
      <c r="AD62" s="1786"/>
      <c r="AE62" s="2258"/>
      <c r="AF62" s="1192"/>
      <c r="AG62" s="1192"/>
      <c r="AH62" s="1192"/>
      <c r="AI62" s="1192"/>
      <c r="AJ62" s="2267">
        <v>11</v>
      </c>
    </row>
    <row s="35197" customFormat="1" customHeight="1" ht="11.549999999999999">
      <c r="A63" s="1613"/>
      <c r="B63" s="2262"/>
      <c r="C63" s="2262"/>
      <c r="D63" s="977"/>
      <c r="J63" s="4642"/>
      <c r="K63" s="4642"/>
      <c r="L63" s="4642"/>
      <c r="M63" s="4642"/>
      <c r="O63" s="1786"/>
      <c r="P63" s="2262"/>
      <c r="Q63" s="2262"/>
      <c r="R63" s="1786"/>
      <c r="S63" s="1786"/>
      <c r="T63" s="1786"/>
      <c r="U63" s="1786"/>
      <c r="V63" s="2262"/>
      <c r="W63" s="1786"/>
      <c r="X63" s="1786"/>
      <c r="Y63" s="1170"/>
      <c r="Z63" s="1786"/>
      <c r="AA63" s="1786"/>
      <c r="AB63" s="1786"/>
      <c r="AC63" s="1786"/>
      <c r="AD63" s="1786"/>
      <c r="AE63" s="2258"/>
      <c r="AF63" s="1192"/>
      <c r="AG63" s="1192"/>
      <c r="AH63" s="1192"/>
      <c r="AI63" s="1192"/>
      <c r="AJ63" s="2267">
        <v>11</v>
      </c>
    </row>
    <row s="35197" customFormat="1" customHeight="1" ht="11.549999999999999">
      <c r="A64" s="1613"/>
      <c r="B64" s="2262"/>
      <c r="C64" s="2262"/>
      <c r="D64" s="977"/>
      <c r="J64" s="4642"/>
      <c r="K64" s="4642"/>
      <c r="L64" s="4642"/>
      <c r="M64" s="4642"/>
      <c r="O64" s="1786"/>
      <c r="P64" s="2262"/>
      <c r="Q64" s="2262"/>
      <c r="R64" s="1786"/>
      <c r="S64" s="1786"/>
      <c r="T64" s="1786"/>
      <c r="U64" s="1786"/>
      <c r="V64" s="2262"/>
      <c r="W64" s="1786"/>
      <c r="X64" s="1786"/>
      <c r="Y64" s="1170"/>
      <c r="Z64" s="1786"/>
      <c r="AA64" s="1786"/>
      <c r="AB64" s="1786"/>
      <c r="AC64" s="1786"/>
      <c r="AD64" s="1786"/>
      <c r="AE64" s="2258"/>
      <c r="AF64" s="1192"/>
      <c r="AG64" s="1192"/>
      <c r="AH64" s="1192"/>
      <c r="AI64" s="1192"/>
      <c r="AJ64" s="2267">
        <v>11</v>
      </c>
    </row>
    <row s="35197" customFormat="1" customHeight="1" ht="11.549999999999999">
      <c r="A65" s="1613"/>
      <c r="B65" s="2262"/>
      <c r="C65" s="2262"/>
      <c r="D65" s="977"/>
      <c r="J65" s="4642"/>
      <c r="K65" s="4642"/>
      <c r="L65" s="4642"/>
      <c r="M65" s="4642"/>
      <c r="O65" s="1786"/>
      <c r="P65" s="2262"/>
      <c r="Q65" s="2262"/>
      <c r="R65" s="1786"/>
      <c r="S65" s="1786"/>
      <c r="T65" s="1786"/>
      <c r="U65" s="1786"/>
      <c r="V65" s="2262"/>
      <c r="W65" s="1786"/>
      <c r="X65" s="1786"/>
      <c r="Y65" s="1170"/>
      <c r="Z65" s="1786"/>
      <c r="AA65" s="1786"/>
      <c r="AB65" s="1786"/>
      <c r="AC65" s="1786"/>
      <c r="AD65" s="1786"/>
      <c r="AE65" s="2258"/>
      <c r="AF65" s="1192"/>
      <c r="AG65" s="1192"/>
      <c r="AH65" s="1192"/>
      <c r="AI65" s="1192"/>
      <c r="AJ65" s="2267">
        <v>11</v>
      </c>
    </row>
    <row s="35197" customFormat="1" customHeight="1" ht="11.549999999999999">
      <c r="A66" s="1613"/>
      <c r="B66" s="2262"/>
      <c r="C66" s="2262"/>
      <c r="D66" s="977"/>
      <c r="J66" s="4642"/>
      <c r="K66" s="4642"/>
      <c r="L66" s="4642"/>
      <c r="M66" s="4642"/>
      <c r="O66" s="1786"/>
      <c r="P66" s="2262"/>
      <c r="Q66" s="2262"/>
      <c r="R66" s="1786"/>
      <c r="S66" s="1786"/>
      <c r="T66" s="1786"/>
      <c r="U66" s="1786"/>
      <c r="V66" s="2262"/>
      <c r="W66" s="1786"/>
      <c r="X66" s="1786"/>
      <c r="Y66" s="1170"/>
      <c r="Z66" s="1786"/>
      <c r="AA66" s="1786"/>
      <c r="AB66" s="1786"/>
      <c r="AC66" s="1786"/>
      <c r="AD66" s="1786"/>
      <c r="AE66" s="2258"/>
      <c r="AF66" s="1192"/>
      <c r="AG66" s="1192"/>
      <c r="AH66" s="1192"/>
      <c r="AI66" s="1192"/>
      <c r="AJ66" s="2267">
        <v>11</v>
      </c>
    </row>
    <row s="35197" customFormat="1" customHeight="1" ht="11.549999999999999">
      <c r="A67" s="1613"/>
      <c r="B67" s="2262"/>
      <c r="C67" s="2262"/>
      <c r="D67" s="977"/>
      <c r="J67" s="4642"/>
      <c r="K67" s="4642"/>
      <c r="L67" s="4642"/>
      <c r="M67" s="4642"/>
      <c r="O67" s="1786"/>
      <c r="P67" s="2262"/>
      <c r="Q67" s="2262"/>
      <c r="R67" s="1786"/>
      <c r="S67" s="1786"/>
      <c r="T67" s="1786"/>
      <c r="U67" s="1786"/>
      <c r="V67" s="2262"/>
      <c r="W67" s="1786"/>
      <c r="X67" s="1786"/>
      <c r="Y67" s="1170"/>
      <c r="Z67" s="1786"/>
      <c r="AA67" s="1786"/>
      <c r="AB67" s="1786"/>
      <c r="AC67" s="1786"/>
      <c r="AD67" s="1786"/>
      <c r="AE67" s="2258"/>
      <c r="AF67" s="1192"/>
      <c r="AG67" s="1192"/>
      <c r="AH67" s="1192"/>
      <c r="AI67" s="1192"/>
      <c r="AJ67" s="2267">
        <v>11</v>
      </c>
    </row>
    <row s="35197" customFormat="1" customHeight="1" ht="11.549999999999999">
      <c r="A68" s="1613"/>
      <c r="B68" s="2262"/>
      <c r="C68" s="2262"/>
      <c r="D68" s="977"/>
      <c r="J68" s="4642"/>
      <c r="K68" s="4642"/>
      <c r="L68" s="4642"/>
      <c r="M68" s="4642"/>
      <c r="O68" s="1786"/>
      <c r="P68" s="2262"/>
      <c r="Q68" s="2262"/>
      <c r="R68" s="1786"/>
      <c r="S68" s="1786"/>
      <c r="T68" s="1786"/>
      <c r="U68" s="1786"/>
      <c r="V68" s="2262"/>
      <c r="W68" s="1786"/>
      <c r="X68" s="1786"/>
      <c r="Y68" s="1170"/>
      <c r="Z68" s="1786"/>
      <c r="AA68" s="1786"/>
      <c r="AB68" s="1786"/>
      <c r="AC68" s="1786"/>
      <c r="AD68" s="1786"/>
      <c r="AE68" s="2258"/>
      <c r="AF68" s="1192"/>
      <c r="AG68" s="1192"/>
      <c r="AH68" s="1192"/>
      <c r="AI68" s="1192"/>
      <c r="AJ68" s="2267">
        <v>11</v>
      </c>
    </row>
    <row s="35197" customFormat="1" customHeight="1" ht="11.549999999999999">
      <c r="A69" s="1613"/>
      <c r="B69" s="2262"/>
      <c r="C69" s="2262"/>
      <c r="D69" s="977"/>
      <c r="J69" s="4642"/>
      <c r="K69" s="4642"/>
      <c r="L69" s="4642"/>
      <c r="M69" s="4642"/>
      <c r="O69" s="1786"/>
      <c r="P69" s="2262"/>
      <c r="Q69" s="2262"/>
      <c r="R69" s="1786"/>
      <c r="S69" s="1786"/>
      <c r="T69" s="1786"/>
      <c r="U69" s="1786"/>
      <c r="V69" s="2262"/>
      <c r="W69" s="1786"/>
      <c r="X69" s="1786"/>
      <c r="Y69" s="1170"/>
      <c r="Z69" s="1786"/>
      <c r="AA69" s="1786"/>
      <c r="AB69" s="1786"/>
      <c r="AC69" s="1786"/>
      <c r="AD69" s="1786"/>
      <c r="AE69" s="2258"/>
      <c r="AF69" s="1192"/>
      <c r="AG69" s="1192"/>
      <c r="AH69" s="1192"/>
      <c r="AI69" s="1192"/>
      <c r="AJ69" s="2267">
        <v>11</v>
      </c>
    </row>
    <row s="35197" customFormat="1" customHeight="1" ht="11.549999999999999">
      <c r="A70" s="1613"/>
      <c r="B70" s="2262"/>
      <c r="C70" s="2262"/>
      <c r="D70" s="977"/>
      <c r="J70" s="4642"/>
      <c r="K70" s="4642"/>
      <c r="L70" s="4642"/>
      <c r="M70" s="4642"/>
      <c r="O70" s="1786"/>
      <c r="P70" s="2262"/>
      <c r="Q70" s="2262"/>
      <c r="R70" s="1786"/>
      <c r="S70" s="1786"/>
      <c r="T70" s="1786"/>
      <c r="U70" s="1786"/>
      <c r="V70" s="2262"/>
      <c r="W70" s="1786"/>
      <c r="X70" s="1786"/>
      <c r="Y70" s="1170"/>
      <c r="Z70" s="1786"/>
      <c r="AA70" s="1786"/>
      <c r="AB70" s="1786"/>
      <c r="AC70" s="1786"/>
      <c r="AD70" s="1786"/>
      <c r="AE70" s="2258"/>
      <c r="AF70" s="1192"/>
      <c r="AG70" s="1192"/>
      <c r="AH70" s="1192"/>
      <c r="AI70" s="1192"/>
      <c r="AJ70" s="2267">
        <v>11</v>
      </c>
    </row>
    <row s="35197" customFormat="1" customHeight="1" ht="11.549999999999999">
      <c r="A71" s="1613"/>
      <c r="B71" s="2262"/>
      <c r="C71" s="2262"/>
      <c r="D71" s="977"/>
      <c r="J71" s="4642"/>
      <c r="K71" s="4642"/>
      <c r="L71" s="4642"/>
      <c r="M71" s="4642"/>
      <c r="O71" s="1786"/>
      <c r="P71" s="2262"/>
      <c r="Q71" s="2262"/>
      <c r="R71" s="1786"/>
      <c r="S71" s="1786"/>
      <c r="T71" s="1786"/>
      <c r="U71" s="1786"/>
      <c r="V71" s="2262"/>
      <c r="W71" s="1786"/>
      <c r="X71" s="1786"/>
      <c r="Y71" s="1170"/>
      <c r="Z71" s="1786"/>
      <c r="AA71" s="1786"/>
      <c r="AB71" s="1786"/>
      <c r="AC71" s="1786"/>
      <c r="AD71" s="1786"/>
      <c r="AE71" s="2258"/>
      <c r="AF71" s="1192"/>
      <c r="AG71" s="1192"/>
      <c r="AH71" s="1192"/>
      <c r="AI71" s="1192"/>
      <c r="AJ71" s="2267">
        <v>11</v>
      </c>
    </row>
    <row s="35197" customFormat="1" customHeight="1" ht="11.549999999999999">
      <c r="A72" s="1613"/>
      <c r="B72" s="2262"/>
      <c r="C72" s="2262"/>
      <c r="D72" s="977"/>
      <c r="J72" s="4642"/>
      <c r="K72" s="4642"/>
      <c r="L72" s="4642"/>
      <c r="M72" s="4642"/>
      <c r="O72" s="1786"/>
      <c r="P72" s="2262"/>
      <c r="Q72" s="2262"/>
      <c r="R72" s="1786"/>
      <c r="S72" s="1786"/>
      <c r="T72" s="1786"/>
      <c r="U72" s="1786"/>
      <c r="V72" s="2262"/>
      <c r="W72" s="1786"/>
      <c r="X72" s="1786"/>
      <c r="Y72" s="1170"/>
      <c r="Z72" s="1786"/>
      <c r="AA72" s="1786"/>
      <c r="AB72" s="1786"/>
      <c r="AC72" s="1786"/>
      <c r="AD72" s="1786"/>
      <c r="AE72" s="2258"/>
      <c r="AF72" s="1192"/>
      <c r="AG72" s="1192"/>
      <c r="AH72" s="1192"/>
      <c r="AI72" s="1192"/>
      <c r="AJ72" s="2267">
        <v>11</v>
      </c>
    </row>
    <row s="35197" customFormat="1" customHeight="1" ht="11.549999999999999">
      <c r="A73" s="1613"/>
      <c r="B73" s="2262"/>
      <c r="C73" s="2262"/>
      <c r="D73" s="977"/>
      <c r="J73" s="4642"/>
      <c r="K73" s="4642"/>
      <c r="L73" s="4642"/>
      <c r="M73" s="4642"/>
      <c r="O73" s="1786"/>
      <c r="P73" s="2262"/>
      <c r="Q73" s="2262"/>
      <c r="R73" s="1786"/>
      <c r="S73" s="1786"/>
      <c r="T73" s="1786"/>
      <c r="U73" s="1786"/>
      <c r="V73" s="2262"/>
      <c r="W73" s="1786"/>
      <c r="X73" s="1786"/>
      <c r="Y73" s="1170"/>
      <c r="Z73" s="1786"/>
      <c r="AA73" s="1786"/>
      <c r="AB73" s="1786"/>
      <c r="AC73" s="1786"/>
      <c r="AD73" s="1786"/>
      <c r="AE73" s="2258"/>
      <c r="AF73" s="1192"/>
      <c r="AG73" s="1192"/>
      <c r="AH73" s="1192"/>
      <c r="AI73" s="1192"/>
      <c r="AJ73" s="2267">
        <v>11</v>
      </c>
    </row>
    <row s="35197" customFormat="1" customHeight="1" ht="11.549999999999999">
      <c r="A74" s="1613"/>
      <c r="B74" s="2262"/>
      <c r="C74" s="2262"/>
      <c r="D74" s="977"/>
      <c r="J74" s="4642"/>
      <c r="K74" s="4642"/>
      <c r="L74" s="4642"/>
      <c r="M74" s="4642"/>
      <c r="O74" s="1786"/>
      <c r="P74" s="2262"/>
      <c r="Q74" s="2262"/>
      <c r="R74" s="1786"/>
      <c r="S74" s="1786"/>
      <c r="T74" s="1786"/>
      <c r="U74" s="1786"/>
      <c r="V74" s="2262"/>
      <c r="W74" s="1786"/>
      <c r="X74" s="1786"/>
      <c r="Y74" s="1170"/>
      <c r="Z74" s="1786"/>
      <c r="AA74" s="1786"/>
      <c r="AB74" s="1786"/>
      <c r="AC74" s="1786"/>
      <c r="AD74" s="1786"/>
      <c r="AE74" s="2258"/>
      <c r="AF74" s="1192"/>
      <c r="AG74" s="1192"/>
      <c r="AH74" s="1192"/>
      <c r="AI74" s="1192"/>
      <c r="AJ74" s="2267">
        <v>11</v>
      </c>
    </row>
    <row s="35197" customFormat="1" customHeight="1" ht="11.549999999999999">
      <c r="A75" s="1613"/>
      <c r="B75" s="2262"/>
      <c r="C75" s="2262"/>
      <c r="D75" s="977"/>
      <c r="J75" s="4642"/>
      <c r="K75" s="4642"/>
      <c r="L75" s="4642"/>
      <c r="M75" s="4642"/>
      <c r="O75" s="1786"/>
      <c r="P75" s="2262"/>
      <c r="Q75" s="2262"/>
      <c r="R75" s="1786"/>
      <c r="S75" s="1786"/>
      <c r="T75" s="1786"/>
      <c r="U75" s="1786"/>
      <c r="V75" s="2262"/>
      <c r="W75" s="1786"/>
      <c r="X75" s="1786"/>
      <c r="Y75" s="1170"/>
      <c r="Z75" s="1786"/>
      <c r="AA75" s="1786"/>
      <c r="AB75" s="1786"/>
      <c r="AC75" s="1786"/>
      <c r="AD75" s="1786"/>
      <c r="AE75" s="2258"/>
      <c r="AF75" s="1192"/>
      <c r="AG75" s="1192"/>
      <c r="AH75" s="1192"/>
      <c r="AI75" s="1192"/>
      <c r="AJ75" s="2267">
        <v>11</v>
      </c>
    </row>
    <row s="35197" customFormat="1" customHeight="1" ht="11.549999999999999">
      <c r="A76" s="1613"/>
      <c r="B76" s="2262"/>
      <c r="C76" s="2262"/>
      <c r="D76" s="977"/>
      <c r="J76" s="4642"/>
      <c r="K76" s="4642"/>
      <c r="L76" s="4642"/>
      <c r="M76" s="4642"/>
      <c r="O76" s="1786"/>
      <c r="P76" s="2262"/>
      <c r="Q76" s="2262"/>
      <c r="R76" s="1786"/>
      <c r="S76" s="1786"/>
      <c r="T76" s="1786"/>
      <c r="U76" s="1786"/>
      <c r="V76" s="2262"/>
      <c r="W76" s="1786"/>
      <c r="X76" s="1786"/>
      <c r="Y76" s="1170"/>
      <c r="Z76" s="1786"/>
      <c r="AA76" s="1786"/>
      <c r="AB76" s="1786"/>
      <c r="AC76" s="1786"/>
      <c r="AD76" s="1786"/>
      <c r="AE76" s="2258"/>
      <c r="AF76" s="1192"/>
      <c r="AG76" s="1192"/>
      <c r="AH76" s="1192"/>
      <c r="AI76" s="1192"/>
      <c r="AJ76" s="2267">
        <v>11</v>
      </c>
    </row>
    <row s="35197" customFormat="1" customHeight="1" ht="11.549999999999999">
      <c r="A77" s="1613"/>
      <c r="B77" s="2262"/>
      <c r="C77" s="2262"/>
      <c r="D77" s="977"/>
      <c r="J77" s="4642"/>
      <c r="K77" s="4642"/>
      <c r="L77" s="4642"/>
      <c r="M77" s="4642"/>
      <c r="O77" s="1786"/>
      <c r="P77" s="2262"/>
      <c r="Q77" s="2262"/>
      <c r="R77" s="1786"/>
      <c r="S77" s="1786"/>
      <c r="T77" s="1786"/>
      <c r="U77" s="1786"/>
      <c r="V77" s="2262"/>
      <c r="W77" s="1786"/>
      <c r="X77" s="1786"/>
      <c r="Y77" s="1170"/>
      <c r="Z77" s="1786"/>
      <c r="AA77" s="1786"/>
      <c r="AB77" s="1786"/>
      <c r="AC77" s="1786"/>
      <c r="AD77" s="1786"/>
      <c r="AE77" s="2258"/>
      <c r="AF77" s="1192"/>
      <c r="AG77" s="1192"/>
      <c r="AH77" s="1192"/>
      <c r="AI77" s="1192"/>
      <c r="AJ77" s="2267">
        <v>11</v>
      </c>
    </row>
    <row s="35197" customFormat="1" customHeight="1" ht="11.549999999999999">
      <c r="A78" s="1613"/>
      <c r="B78" s="2262"/>
      <c r="C78" s="2262"/>
      <c r="D78" s="977"/>
      <c r="J78" s="4642"/>
      <c r="K78" s="4642"/>
      <c r="L78" s="4642"/>
      <c r="M78" s="4642"/>
      <c r="O78" s="1786"/>
      <c r="P78" s="2262"/>
      <c r="Q78" s="2262"/>
      <c r="R78" s="1786"/>
      <c r="S78" s="1786"/>
      <c r="T78" s="1786"/>
      <c r="U78" s="1786"/>
      <c r="V78" s="2262"/>
      <c r="W78" s="1786"/>
      <c r="X78" s="1786"/>
      <c r="Y78" s="1170"/>
      <c r="Z78" s="1786"/>
      <c r="AA78" s="1786"/>
      <c r="AB78" s="1786"/>
      <c r="AC78" s="1786"/>
      <c r="AD78" s="1786"/>
      <c r="AE78" s="2258"/>
      <c r="AF78" s="1192"/>
      <c r="AG78" s="1192"/>
      <c r="AH78" s="1192"/>
      <c r="AI78" s="1192"/>
      <c r="AJ78" s="2267">
        <v>11</v>
      </c>
    </row>
    <row s="35197" customFormat="1" customHeight="1" ht="11.549999999999999">
      <c r="A79" s="1613"/>
      <c r="B79" s="2262"/>
      <c r="C79" s="2262"/>
      <c r="D79" s="977"/>
      <c r="J79" s="4642"/>
      <c r="K79" s="4642"/>
      <c r="L79" s="4642"/>
      <c r="M79" s="4642"/>
      <c r="O79" s="1786"/>
      <c r="P79" s="2262"/>
      <c r="Q79" s="2262"/>
      <c r="R79" s="1786"/>
      <c r="S79" s="1786"/>
      <c r="T79" s="1786"/>
      <c r="U79" s="1786"/>
      <c r="V79" s="2262"/>
      <c r="W79" s="1786"/>
      <c r="X79" s="1786"/>
      <c r="Y79" s="1170"/>
      <c r="Z79" s="1786"/>
      <c r="AA79" s="1786"/>
      <c r="AB79" s="1786"/>
      <c r="AC79" s="1786"/>
      <c r="AD79" s="1786"/>
      <c r="AE79" s="2258"/>
      <c r="AF79" s="1192"/>
      <c r="AG79" s="1192"/>
      <c r="AH79" s="1192"/>
      <c r="AI79" s="1192"/>
      <c r="AJ79" s="2267">
        <v>11</v>
      </c>
    </row>
    <row s="35197" customFormat="1" customHeight="1" ht="11.549999999999999">
      <c r="A80" s="1613"/>
      <c r="B80" s="2262"/>
      <c r="C80" s="2262"/>
      <c r="D80" s="977"/>
      <c r="J80" s="4642"/>
      <c r="K80" s="4642"/>
      <c r="L80" s="4642"/>
      <c r="M80" s="4642"/>
      <c r="O80" s="1786"/>
      <c r="P80" s="2262"/>
      <c r="Q80" s="2262"/>
      <c r="R80" s="1786"/>
      <c r="S80" s="1786"/>
      <c r="T80" s="1786"/>
      <c r="U80" s="1786"/>
      <c r="V80" s="2262"/>
      <c r="W80" s="1786"/>
      <c r="X80" s="1786"/>
      <c r="Y80" s="1170"/>
      <c r="Z80" s="1786"/>
      <c r="AA80" s="1786"/>
      <c r="AB80" s="1786"/>
      <c r="AC80" s="1786"/>
      <c r="AD80" s="1786"/>
      <c r="AE80" s="2258"/>
      <c r="AF80" s="1192"/>
      <c r="AG80" s="1192"/>
      <c r="AH80" s="1192"/>
      <c r="AI80" s="1192"/>
      <c r="AJ80" s="2267">
        <v>11</v>
      </c>
    </row>
    <row s="35197" customFormat="1" customHeight="1" ht="11.549999999999999">
      <c r="A81" s="1613"/>
      <c r="B81" s="2262"/>
      <c r="C81" s="2262"/>
      <c r="D81" s="977"/>
      <c r="J81" s="4642"/>
      <c r="K81" s="4642"/>
      <c r="L81" s="4642"/>
      <c r="M81" s="4642"/>
      <c r="O81" s="1786"/>
      <c r="P81" s="2262"/>
      <c r="Q81" s="2262"/>
      <c r="R81" s="1786"/>
      <c r="S81" s="1786"/>
      <c r="T81" s="1786"/>
      <c r="U81" s="1786"/>
      <c r="V81" s="2262"/>
      <c r="W81" s="1786"/>
      <c r="X81" s="1786"/>
      <c r="Y81" s="1170"/>
      <c r="Z81" s="1786"/>
      <c r="AA81" s="1786"/>
      <c r="AB81" s="1786"/>
      <c r="AC81" s="1786"/>
      <c r="AD81" s="1786"/>
      <c r="AE81" s="2258"/>
      <c r="AF81" s="1192"/>
      <c r="AG81" s="1192"/>
      <c r="AH81" s="1192"/>
      <c r="AI81" s="1192"/>
      <c r="AJ81" s="2267">
        <v>11</v>
      </c>
    </row>
    <row s="35197" customFormat="1" customHeight="1" ht="11.549999999999999">
      <c r="A82" s="1613"/>
      <c r="B82" s="2262"/>
      <c r="C82" s="2262"/>
      <c r="D82" s="977"/>
      <c r="J82" s="4642"/>
      <c r="K82" s="4642"/>
      <c r="L82" s="4642"/>
      <c r="M82" s="4642"/>
      <c r="O82" s="1786"/>
      <c r="P82" s="2262"/>
      <c r="Q82" s="2262"/>
      <c r="R82" s="1786"/>
      <c r="S82" s="1786"/>
      <c r="T82" s="1786"/>
      <c r="U82" s="1786"/>
      <c r="V82" s="2262"/>
      <c r="W82" s="1786"/>
      <c r="X82" s="1786"/>
      <c r="Y82" s="1170"/>
      <c r="Z82" s="1786"/>
      <c r="AA82" s="1786"/>
      <c r="AB82" s="1786"/>
      <c r="AC82" s="1786"/>
      <c r="AD82" s="1786"/>
      <c r="AE82" s="2258"/>
      <c r="AF82" s="1192"/>
      <c r="AG82" s="1192"/>
      <c r="AH82" s="1192"/>
      <c r="AI82" s="1192"/>
      <c r="AJ82" s="2267">
        <v>11</v>
      </c>
    </row>
    <row s="35197" customFormat="1" customHeight="1" ht="11.549999999999999">
      <c r="A83" s="1613"/>
      <c r="B83" s="2262"/>
      <c r="C83" s="2262"/>
      <c r="D83" s="977"/>
      <c r="J83" s="4642"/>
      <c r="K83" s="4642"/>
      <c r="L83" s="4642"/>
      <c r="M83" s="4642"/>
      <c r="O83" s="1786"/>
      <c r="P83" s="2262"/>
      <c r="Q83" s="2262"/>
      <c r="R83" s="1786"/>
      <c r="S83" s="1786"/>
      <c r="T83" s="1786"/>
      <c r="U83" s="1786"/>
      <c r="V83" s="2262"/>
      <c r="W83" s="1786"/>
      <c r="X83" s="1786"/>
      <c r="Y83" s="1170"/>
      <c r="Z83" s="1786"/>
      <c r="AA83" s="1786"/>
      <c r="AB83" s="1786"/>
      <c r="AC83" s="1786"/>
      <c r="AD83" s="1786"/>
      <c r="AE83" s="2258"/>
      <c r="AF83" s="1192"/>
      <c r="AG83" s="1192"/>
      <c r="AH83" s="1192"/>
      <c r="AI83" s="1192"/>
      <c r="AJ83" s="2267">
        <v>11</v>
      </c>
    </row>
    <row s="35197" customFormat="1" customHeight="1" ht="11.549999999999999">
      <c r="A84" s="1613"/>
      <c r="B84" s="2262"/>
      <c r="C84" s="2262"/>
      <c r="D84" s="977"/>
      <c r="J84" s="4642"/>
      <c r="K84" s="4642"/>
      <c r="L84" s="4642"/>
      <c r="M84" s="4642"/>
      <c r="O84" s="1786"/>
      <c r="P84" s="2262"/>
      <c r="Q84" s="2262"/>
      <c r="R84" s="1786"/>
      <c r="S84" s="1786"/>
      <c r="T84" s="1786"/>
      <c r="U84" s="1786"/>
      <c r="V84" s="2262"/>
      <c r="W84" s="1786"/>
      <c r="X84" s="1786"/>
      <c r="Y84" s="1170"/>
      <c r="Z84" s="1786"/>
      <c r="AA84" s="1786"/>
      <c r="AB84" s="1786"/>
      <c r="AC84" s="1786"/>
      <c r="AD84" s="1786"/>
      <c r="AE84" s="2258"/>
      <c r="AF84" s="1192"/>
      <c r="AG84" s="1192"/>
      <c r="AH84" s="1192"/>
      <c r="AI84" s="1192"/>
      <c r="AJ84" s="2267">
        <v>11</v>
      </c>
    </row>
    <row s="35197" customFormat="1" customHeight="1" ht="11.549999999999999">
      <c r="A85" s="1613"/>
      <c r="B85" s="2262"/>
      <c r="C85" s="2262"/>
      <c r="D85" s="977"/>
      <c r="J85" s="4642"/>
      <c r="K85" s="4642"/>
      <c r="L85" s="4642"/>
      <c r="M85" s="4642"/>
      <c r="O85" s="1786"/>
      <c r="P85" s="2262"/>
      <c r="Q85" s="2262"/>
      <c r="R85" s="1786"/>
      <c r="S85" s="1786"/>
      <c r="T85" s="1786"/>
      <c r="U85" s="1786"/>
      <c r="V85" s="2262"/>
      <c r="W85" s="1786"/>
      <c r="X85" s="1786"/>
      <c r="Y85" s="1170"/>
      <c r="Z85" s="1786"/>
      <c r="AA85" s="1786"/>
      <c r="AB85" s="1786"/>
      <c r="AC85" s="1786"/>
      <c r="AD85" s="1786"/>
      <c r="AE85" s="2258"/>
      <c r="AF85" s="1192"/>
      <c r="AG85" s="1192"/>
      <c r="AH85" s="1192"/>
      <c r="AI85" s="1192"/>
      <c r="AJ85" s="2267">
        <v>11</v>
      </c>
    </row>
    <row s="35197" customFormat="1" customHeight="1" ht="11.549999999999999">
      <c r="A86" s="1613"/>
      <c r="B86" s="2262"/>
      <c r="C86" s="2262"/>
      <c r="D86" s="977"/>
      <c r="J86" s="4642"/>
      <c r="K86" s="4642"/>
      <c r="L86" s="4642"/>
      <c r="M86" s="4642"/>
      <c r="O86" s="1786"/>
      <c r="P86" s="2262"/>
      <c r="Q86" s="2262"/>
      <c r="R86" s="1786"/>
      <c r="S86" s="1786"/>
      <c r="T86" s="1786"/>
      <c r="U86" s="1786"/>
      <c r="V86" s="2262"/>
      <c r="W86" s="1786"/>
      <c r="X86" s="1786"/>
      <c r="Y86" s="1170"/>
      <c r="Z86" s="1786"/>
      <c r="AA86" s="1786"/>
      <c r="AB86" s="1786"/>
      <c r="AC86" s="1786"/>
      <c r="AD86" s="1786"/>
      <c r="AE86" s="2258"/>
      <c r="AF86" s="1192"/>
      <c r="AG86" s="1192"/>
      <c r="AH86" s="1192"/>
      <c r="AI86" s="1192"/>
      <c r="AJ86" s="2267">
        <v>11</v>
      </c>
    </row>
    <row s="35197" customFormat="1" customHeight="1" ht="11.549999999999999">
      <c r="A87" s="1613"/>
      <c r="B87" s="2262"/>
      <c r="C87" s="2262"/>
      <c r="D87" s="977"/>
      <c r="J87" s="4642"/>
      <c r="K87" s="4642"/>
      <c r="L87" s="4642"/>
      <c r="M87" s="4642"/>
      <c r="O87" s="1786"/>
      <c r="P87" s="2262"/>
      <c r="Q87" s="2262"/>
      <c r="R87" s="1786"/>
      <c r="S87" s="1786"/>
      <c r="T87" s="1786"/>
      <c r="U87" s="1786"/>
      <c r="V87" s="2262"/>
      <c r="W87" s="1786"/>
      <c r="X87" s="1786"/>
      <c r="Y87" s="1170"/>
      <c r="Z87" s="1786"/>
      <c r="AA87" s="1786"/>
      <c r="AB87" s="1786"/>
      <c r="AC87" s="1786"/>
      <c r="AD87" s="1786"/>
      <c r="AE87" s="2258"/>
      <c r="AF87" s="1192"/>
      <c r="AG87" s="1192"/>
      <c r="AH87" s="1192"/>
      <c r="AI87" s="1192"/>
      <c r="AJ87" s="2267">
        <v>11</v>
      </c>
    </row>
    <row s="35197" customFormat="1" customHeight="1" ht="11.549999999999999">
      <c r="A88" s="1613"/>
      <c r="B88" s="2262"/>
      <c r="C88" s="2262"/>
      <c r="D88" s="977"/>
      <c r="J88" s="4642"/>
      <c r="K88" s="4642"/>
      <c r="L88" s="4642"/>
      <c r="M88" s="4642"/>
      <c r="O88" s="1786"/>
      <c r="P88" s="2262"/>
      <c r="Q88" s="2262"/>
      <c r="R88" s="1786"/>
      <c r="S88" s="1786"/>
      <c r="T88" s="1786"/>
      <c r="U88" s="1786"/>
      <c r="V88" s="2262"/>
      <c r="W88" s="1786"/>
      <c r="X88" s="1786"/>
      <c r="Y88" s="1170"/>
      <c r="Z88" s="1786"/>
      <c r="AA88" s="1786"/>
      <c r="AB88" s="1786"/>
      <c r="AC88" s="1786"/>
      <c r="AD88" s="1786"/>
      <c r="AE88" s="2258"/>
      <c r="AF88" s="1192"/>
      <c r="AG88" s="1192"/>
      <c r="AH88" s="1192"/>
      <c r="AI88" s="1192"/>
      <c r="AJ88" s="2267">
        <v>11</v>
      </c>
    </row>
    <row s="35197" customFormat="1" customHeight="1" ht="11.549999999999999">
      <c r="A89" s="1613"/>
      <c r="B89" s="2262"/>
      <c r="C89" s="2262"/>
      <c r="D89" s="977"/>
      <c r="J89" s="4642"/>
      <c r="K89" s="4642"/>
      <c r="L89" s="4642"/>
      <c r="M89" s="4642"/>
      <c r="O89" s="1786"/>
      <c r="P89" s="2262"/>
      <c r="Q89" s="2262"/>
      <c r="R89" s="1786"/>
      <c r="S89" s="1786"/>
      <c r="T89" s="1786"/>
      <c r="U89" s="1786"/>
      <c r="V89" s="2262"/>
      <c r="W89" s="1786"/>
      <c r="X89" s="1786"/>
      <c r="Y89" s="1170"/>
      <c r="Z89" s="1786"/>
      <c r="AA89" s="1786"/>
      <c r="AB89" s="1786"/>
      <c r="AC89" s="1786"/>
      <c r="AD89" s="1786"/>
      <c r="AE89" s="2258"/>
      <c r="AF89" s="1192"/>
      <c r="AG89" s="1192"/>
      <c r="AH89" s="1192"/>
      <c r="AI89" s="1192"/>
      <c r="AJ89" s="2267">
        <v>11</v>
      </c>
    </row>
    <row s="35197" customFormat="1" customHeight="1" ht="11.549999999999999">
      <c r="A90" s="1613"/>
      <c r="B90" s="2262"/>
      <c r="C90" s="2262"/>
      <c r="D90" s="977"/>
      <c r="J90" s="4642"/>
      <c r="K90" s="4642"/>
      <c r="L90" s="4642"/>
      <c r="M90" s="4642"/>
      <c r="O90" s="1786"/>
      <c r="P90" s="2262"/>
      <c r="Q90" s="2262"/>
      <c r="R90" s="1786"/>
      <c r="S90" s="1786"/>
      <c r="T90" s="1786"/>
      <c r="U90" s="1786"/>
      <c r="V90" s="2262"/>
      <c r="W90" s="1786"/>
      <c r="X90" s="1786"/>
      <c r="Y90" s="1170"/>
      <c r="Z90" s="1786"/>
      <c r="AA90" s="1786"/>
      <c r="AB90" s="1786"/>
      <c r="AC90" s="1786"/>
      <c r="AD90" s="1786"/>
      <c r="AE90" s="2258"/>
      <c r="AF90" s="1192"/>
      <c r="AG90" s="1192"/>
      <c r="AH90" s="1192"/>
      <c r="AI90" s="1192"/>
      <c r="AJ90" s="2267">
        <v>11</v>
      </c>
    </row>
    <row s="35197" customFormat="1" customHeight="1" ht="11.549999999999999">
      <c r="A91" s="1613"/>
      <c r="B91" s="2262"/>
      <c r="C91" s="2262"/>
      <c r="D91" s="977"/>
      <c r="J91" s="4642"/>
      <c r="K91" s="4642"/>
      <c r="L91" s="4642"/>
      <c r="M91" s="4642"/>
      <c r="O91" s="1786"/>
      <c r="P91" s="2262"/>
      <c r="Q91" s="2262"/>
      <c r="R91" s="1786"/>
      <c r="S91" s="1786"/>
      <c r="T91" s="1786"/>
      <c r="U91" s="1786"/>
      <c r="V91" s="2262"/>
      <c r="W91" s="1786"/>
      <c r="X91" s="1786"/>
      <c r="Y91" s="1170"/>
      <c r="Z91" s="1786"/>
      <c r="AA91" s="1786"/>
      <c r="AB91" s="1786"/>
      <c r="AC91" s="1786"/>
      <c r="AD91" s="1786"/>
      <c r="AE91" s="2258"/>
      <c r="AF91" s="1192"/>
      <c r="AG91" s="1192"/>
      <c r="AH91" s="1192"/>
      <c r="AI91" s="1192"/>
      <c r="AJ91" s="2267">
        <v>11</v>
      </c>
    </row>
    <row s="35197" customFormat="1" customHeight="1" ht="11.549999999999999">
      <c r="A92" s="1613"/>
      <c r="B92" s="2262"/>
      <c r="C92" s="2262"/>
      <c r="D92" s="977"/>
      <c r="J92" s="4642"/>
      <c r="K92" s="4642"/>
      <c r="L92" s="4642"/>
      <c r="M92" s="4642"/>
      <c r="O92" s="1786"/>
      <c r="P92" s="2262"/>
      <c r="Q92" s="2262"/>
      <c r="R92" s="1786"/>
      <c r="S92" s="1786"/>
      <c r="T92" s="1786"/>
      <c r="U92" s="1786"/>
      <c r="V92" s="2262"/>
      <c r="W92" s="1786"/>
      <c r="X92" s="1786"/>
      <c r="Y92" s="1170"/>
      <c r="Z92" s="1786"/>
      <c r="AA92" s="1786"/>
      <c r="AB92" s="1786"/>
      <c r="AC92" s="1786"/>
      <c r="AD92" s="1786"/>
      <c r="AE92" s="2258"/>
      <c r="AF92" s="1192"/>
      <c r="AG92" s="1192"/>
      <c r="AH92" s="1192"/>
      <c r="AI92" s="1192"/>
      <c r="AJ92" s="2267">
        <v>11</v>
      </c>
    </row>
    <row s="35197" customFormat="1" customHeight="1" ht="11.549999999999999">
      <c r="A93" s="1613"/>
      <c r="B93" s="2262"/>
      <c r="C93" s="2262"/>
      <c r="D93" s="977"/>
      <c r="J93" s="4642"/>
      <c r="K93" s="4642"/>
      <c r="L93" s="4642"/>
      <c r="M93" s="4642"/>
      <c r="O93" s="1786"/>
      <c r="P93" s="2262"/>
      <c r="Q93" s="2262"/>
      <c r="R93" s="1786"/>
      <c r="S93" s="1786"/>
      <c r="T93" s="1786"/>
      <c r="U93" s="1786"/>
      <c r="V93" s="2262"/>
      <c r="W93" s="1786"/>
      <c r="X93" s="1786"/>
      <c r="Y93" s="1170"/>
      <c r="Z93" s="1786"/>
      <c r="AA93" s="1786"/>
      <c r="AB93" s="1786"/>
      <c r="AC93" s="1786"/>
      <c r="AD93" s="1786"/>
      <c r="AE93" s="2258"/>
      <c r="AF93" s="1192"/>
      <c r="AG93" s="1192"/>
      <c r="AH93" s="1192"/>
      <c r="AI93" s="1192"/>
      <c r="AJ93" s="2267">
        <v>11</v>
      </c>
    </row>
    <row s="35197" customFormat="1" customHeight="1" ht="11.549999999999999">
      <c r="A94" s="1613"/>
      <c r="B94" s="2262"/>
      <c r="C94" s="2262"/>
      <c r="D94" s="977"/>
      <c r="J94" s="4642"/>
      <c r="K94" s="4642"/>
      <c r="L94" s="4642"/>
      <c r="M94" s="4642"/>
      <c r="O94" s="1786"/>
      <c r="P94" s="2262"/>
      <c r="Q94" s="2262"/>
      <c r="R94" s="1786"/>
      <c r="S94" s="1786"/>
      <c r="T94" s="1786"/>
      <c r="U94" s="1786"/>
      <c r="V94" s="2262"/>
      <c r="W94" s="1786"/>
      <c r="X94" s="1786"/>
      <c r="Y94" s="1170"/>
      <c r="Z94" s="1786"/>
      <c r="AA94" s="1786"/>
      <c r="AB94" s="1786"/>
      <c r="AC94" s="1786"/>
      <c r="AD94" s="1786"/>
      <c r="AE94" s="2258"/>
      <c r="AF94" s="1192"/>
      <c r="AG94" s="1192"/>
      <c r="AH94" s="1192"/>
      <c r="AI94" s="1192"/>
      <c r="AJ94" s="2267">
        <v>11</v>
      </c>
    </row>
    <row s="35197" customFormat="1" customHeight="1" ht="11.549999999999999">
      <c r="A95" s="1613"/>
      <c r="B95" s="2262"/>
      <c r="C95" s="2262"/>
      <c r="D95" s="977"/>
      <c r="J95" s="4642"/>
      <c r="K95" s="4642"/>
      <c r="L95" s="4642"/>
      <c r="M95" s="4642"/>
      <c r="O95" s="1786"/>
      <c r="P95" s="2262"/>
      <c r="Q95" s="2262"/>
      <c r="R95" s="1786"/>
      <c r="S95" s="1786"/>
      <c r="T95" s="1786"/>
      <c r="U95" s="1786"/>
      <c r="V95" s="2262"/>
      <c r="W95" s="1786"/>
      <c r="X95" s="1786"/>
      <c r="Y95" s="1170"/>
      <c r="Z95" s="1786"/>
      <c r="AA95" s="1786"/>
      <c r="AB95" s="1786"/>
      <c r="AC95" s="1786"/>
      <c r="AD95" s="1786"/>
      <c r="AE95" s="2258"/>
      <c r="AF95" s="1192"/>
      <c r="AG95" s="1192"/>
      <c r="AH95" s="1192"/>
      <c r="AI95" s="1192"/>
      <c r="AJ95" s="2267">
        <v>11</v>
      </c>
    </row>
    <row s="35197" customFormat="1" customHeight="1" ht="11.549999999999999">
      <c r="A96" s="1613"/>
      <c r="B96" s="2262"/>
      <c r="C96" s="2262"/>
      <c r="D96" s="977"/>
      <c r="J96" s="4642"/>
      <c r="K96" s="4642"/>
      <c r="L96" s="4642"/>
      <c r="M96" s="4642"/>
      <c r="O96" s="1786"/>
      <c r="P96" s="2262"/>
      <c r="Q96" s="2262"/>
      <c r="R96" s="1786"/>
      <c r="S96" s="1786"/>
      <c r="T96" s="1786"/>
      <c r="U96" s="1786"/>
      <c r="V96" s="2262"/>
      <c r="W96" s="1786"/>
      <c r="X96" s="1786"/>
      <c r="Y96" s="1170"/>
      <c r="Z96" s="1786"/>
      <c r="AA96" s="1786"/>
      <c r="AB96" s="1786"/>
      <c r="AC96" s="1786"/>
      <c r="AD96" s="1786"/>
      <c r="AE96" s="2258"/>
      <c r="AF96" s="1192"/>
      <c r="AG96" s="1192"/>
      <c r="AH96" s="1192"/>
      <c r="AI96" s="1192"/>
      <c r="AJ96" s="2267">
        <v>11</v>
      </c>
    </row>
    <row s="35197" customFormat="1" customHeight="1" ht="11.549999999999999">
      <c r="A97" s="1613"/>
      <c r="B97" s="2262"/>
      <c r="C97" s="2262"/>
      <c r="D97" s="977"/>
      <c r="J97" s="4642"/>
      <c r="K97" s="4642"/>
      <c r="L97" s="4642"/>
      <c r="M97" s="4642"/>
      <c r="O97" s="1786"/>
      <c r="P97" s="2262"/>
      <c r="Q97" s="2262"/>
      <c r="R97" s="1786"/>
      <c r="S97" s="1786"/>
      <c r="T97" s="1786"/>
      <c r="U97" s="1786"/>
      <c r="V97" s="2262"/>
      <c r="W97" s="1786"/>
      <c r="X97" s="1786"/>
      <c r="Y97" s="1170"/>
      <c r="Z97" s="1786"/>
      <c r="AA97" s="1786"/>
      <c r="AB97" s="1786"/>
      <c r="AC97" s="1786"/>
      <c r="AD97" s="1786"/>
      <c r="AE97" s="2258"/>
      <c r="AF97" s="1192"/>
      <c r="AG97" s="1192"/>
      <c r="AH97" s="1192"/>
      <c r="AI97" s="1192"/>
      <c r="AJ97" s="2267">
        <v>11</v>
      </c>
    </row>
    <row s="35197" customFormat="1" customHeight="1" ht="11.549999999999999">
      <c r="A98" s="1613"/>
      <c r="B98" s="2262"/>
      <c r="C98" s="2262"/>
      <c r="D98" s="977"/>
      <c r="J98" s="4642"/>
      <c r="K98" s="4642"/>
      <c r="L98" s="4642"/>
      <c r="M98" s="4642"/>
      <c r="O98" s="1786"/>
      <c r="P98" s="2262"/>
      <c r="Q98" s="2262"/>
      <c r="R98" s="1786"/>
      <c r="S98" s="1786"/>
      <c r="T98" s="1786"/>
      <c r="U98" s="1786"/>
      <c r="V98" s="2262"/>
      <c r="W98" s="1786"/>
      <c r="X98" s="1786"/>
      <c r="Y98" s="1170"/>
      <c r="Z98" s="1786"/>
      <c r="AA98" s="1786"/>
      <c r="AB98" s="1786"/>
      <c r="AC98" s="1786"/>
      <c r="AD98" s="1786"/>
      <c r="AE98" s="2258"/>
      <c r="AF98" s="1192"/>
      <c r="AG98" s="1192"/>
      <c r="AH98" s="1192"/>
      <c r="AI98" s="1192"/>
      <c r="AJ98" s="2267">
        <v>11</v>
      </c>
    </row>
    <row s="35197" customFormat="1" customHeight="1" ht="11.549999999999999">
      <c r="A99" s="1613"/>
      <c r="B99" s="2262"/>
      <c r="C99" s="2262"/>
      <c r="D99" s="977"/>
      <c r="J99" s="4642"/>
      <c r="K99" s="4642"/>
      <c r="L99" s="4642"/>
      <c r="M99" s="4642"/>
      <c r="O99" s="1786"/>
      <c r="P99" s="2262"/>
      <c r="Q99" s="2262"/>
      <c r="R99" s="1786"/>
      <c r="S99" s="1786"/>
      <c r="T99" s="1786"/>
      <c r="U99" s="1786"/>
      <c r="V99" s="2262"/>
      <c r="W99" s="1786"/>
      <c r="X99" s="1786"/>
      <c r="Y99" s="1170"/>
      <c r="Z99" s="1786"/>
      <c r="AA99" s="1786"/>
      <c r="AB99" s="1786"/>
      <c r="AC99" s="1786"/>
      <c r="AD99" s="1786"/>
      <c r="AE99" s="2258"/>
      <c r="AF99" s="1192"/>
      <c r="AG99" s="1192"/>
      <c r="AH99" s="1192"/>
      <c r="AI99" s="1192"/>
      <c r="AJ99" s="2267">
        <v>11</v>
      </c>
    </row>
    <row s="35197" customFormat="1" customHeight="1" ht="11.549999999999999">
      <c r="A100" s="1613"/>
      <c r="B100" s="2262"/>
      <c r="C100" s="2262"/>
      <c r="D100" s="977"/>
      <c r="J100" s="4642"/>
      <c r="K100" s="4642"/>
      <c r="L100" s="4642"/>
      <c r="M100" s="4642"/>
      <c r="O100" s="1786"/>
      <c r="P100" s="2262"/>
      <c r="Q100" s="2262"/>
      <c r="R100" s="1786"/>
      <c r="S100" s="1786"/>
      <c r="T100" s="1786"/>
      <c r="U100" s="1786"/>
      <c r="V100" s="2262"/>
      <c r="W100" s="1786"/>
      <c r="X100" s="1786"/>
      <c r="Y100" s="1170"/>
      <c r="Z100" s="1786"/>
      <c r="AA100" s="1786"/>
      <c r="AB100" s="1786"/>
      <c r="AC100" s="1786"/>
      <c r="AD100" s="1786"/>
      <c r="AE100" s="2258"/>
      <c r="AF100" s="1192"/>
      <c r="AG100" s="1192"/>
      <c r="AH100" s="1192"/>
      <c r="AI100" s="1192"/>
      <c r="AJ100" s="2267">
        <v>11</v>
      </c>
    </row>
    <row s="35197" customFormat="1" customHeight="1" ht="11.549999999999999">
      <c r="A101" s="1613"/>
      <c r="B101" s="2262"/>
      <c r="C101" s="2262"/>
      <c r="D101" s="977"/>
      <c r="J101" s="4642"/>
      <c r="K101" s="4642"/>
      <c r="L101" s="4642"/>
      <c r="M101" s="4642"/>
      <c r="O101" s="1786"/>
      <c r="P101" s="2262"/>
      <c r="Q101" s="2262"/>
      <c r="R101" s="1786"/>
      <c r="S101" s="1786"/>
      <c r="T101" s="1786"/>
      <c r="U101" s="1786"/>
      <c r="V101" s="2262"/>
      <c r="W101" s="1786"/>
      <c r="X101" s="1786"/>
      <c r="Y101" s="1170"/>
      <c r="Z101" s="1786"/>
      <c r="AA101" s="1786"/>
      <c r="AB101" s="1786"/>
      <c r="AC101" s="1786"/>
      <c r="AD101" s="1786"/>
      <c r="AE101" s="2258"/>
      <c r="AF101" s="1192"/>
      <c r="AG101" s="1192"/>
      <c r="AH101" s="1192"/>
      <c r="AI101" s="1192"/>
      <c r="AJ101" s="2267">
        <v>11</v>
      </c>
    </row>
    <row s="35197" customFormat="1" customHeight="1" ht="11.549999999999999">
      <c r="A102" s="1613"/>
      <c r="B102" s="2262"/>
      <c r="C102" s="2262"/>
      <c r="D102" s="977"/>
      <c r="J102" s="4642"/>
      <c r="K102" s="4642"/>
      <c r="L102" s="4642"/>
      <c r="M102" s="4642"/>
      <c r="O102" s="1786"/>
      <c r="P102" s="2262"/>
      <c r="Q102" s="2262"/>
      <c r="R102" s="1786"/>
      <c r="S102" s="1786"/>
      <c r="T102" s="1786"/>
      <c r="U102" s="1786"/>
      <c r="V102" s="2262"/>
      <c r="W102" s="1786"/>
      <c r="X102" s="1786"/>
      <c r="Y102" s="1170"/>
      <c r="Z102" s="1786"/>
      <c r="AA102" s="1786"/>
      <c r="AB102" s="1786"/>
      <c r="AC102" s="1786"/>
      <c r="AD102" s="1786"/>
      <c r="AE102" s="2258"/>
      <c r="AF102" s="1192"/>
      <c r="AG102" s="1192"/>
      <c r="AH102" s="1192"/>
      <c r="AI102" s="1192"/>
      <c r="AJ102" s="2267">
        <v>11</v>
      </c>
    </row>
    <row s="35197" customFormat="1" customHeight="1" ht="11.549999999999999">
      <c r="A103" s="1613"/>
      <c r="B103" s="2262"/>
      <c r="C103" s="2262"/>
      <c r="D103" s="977"/>
      <c r="J103" s="4642"/>
      <c r="K103" s="4642"/>
      <c r="L103" s="4642"/>
      <c r="M103" s="4642"/>
      <c r="O103" s="1786"/>
      <c r="P103" s="2262"/>
      <c r="Q103" s="2262"/>
      <c r="R103" s="1786"/>
      <c r="S103" s="1786"/>
      <c r="T103" s="1786"/>
      <c r="U103" s="1786"/>
      <c r="V103" s="2262"/>
      <c r="W103" s="1786"/>
      <c r="X103" s="1786"/>
      <c r="Y103" s="1170"/>
      <c r="Z103" s="1786"/>
      <c r="AA103" s="1786"/>
      <c r="AB103" s="1786"/>
      <c r="AC103" s="1786"/>
      <c r="AD103" s="1786"/>
      <c r="AE103" s="2258"/>
      <c r="AF103" s="1192"/>
      <c r="AG103" s="1192"/>
      <c r="AH103" s="1192"/>
      <c r="AI103" s="1192"/>
      <c r="AJ103" s="2267">
        <v>11</v>
      </c>
    </row>
    <row s="35197" customFormat="1" customHeight="1" ht="11.549999999999999">
      <c r="A104" s="1613"/>
      <c r="B104" s="2262"/>
      <c r="C104" s="2262"/>
      <c r="D104" s="977"/>
      <c r="J104" s="4642"/>
      <c r="K104" s="4642"/>
      <c r="L104" s="4642"/>
      <c r="M104" s="4642"/>
      <c r="O104" s="1786"/>
      <c r="P104" s="2262"/>
      <c r="Q104" s="2262"/>
      <c r="R104" s="1786"/>
      <c r="S104" s="1786"/>
      <c r="T104" s="1786"/>
      <c r="U104" s="1786"/>
      <c r="V104" s="2262"/>
      <c r="W104" s="1786"/>
      <c r="X104" s="1786"/>
      <c r="Y104" s="1170"/>
      <c r="Z104" s="1786"/>
      <c r="AA104" s="1786"/>
      <c r="AB104" s="1786"/>
      <c r="AC104" s="1786"/>
      <c r="AD104" s="1786"/>
      <c r="AE104" s="2258"/>
      <c r="AF104" s="1192"/>
      <c r="AG104" s="1192"/>
      <c r="AH104" s="1192"/>
      <c r="AI104" s="1192"/>
      <c r="AJ104" s="2267">
        <v>11</v>
      </c>
    </row>
    <row s="35197" customFormat="1" customHeight="1" ht="11.549999999999999">
      <c r="A105" s="1613"/>
      <c r="B105" s="2262"/>
      <c r="C105" s="2262"/>
      <c r="D105" s="977"/>
      <c r="J105" s="4642"/>
      <c r="K105" s="4642"/>
      <c r="L105" s="4642"/>
      <c r="M105" s="4642"/>
      <c r="O105" s="1786"/>
      <c r="P105" s="2262"/>
      <c r="Q105" s="2262"/>
      <c r="R105" s="1786"/>
      <c r="S105" s="1786"/>
      <c r="T105" s="1786"/>
      <c r="U105" s="1786"/>
      <c r="V105" s="2262"/>
      <c r="W105" s="1786"/>
      <c r="X105" s="1786"/>
      <c r="Y105" s="1170"/>
      <c r="Z105" s="1786"/>
      <c r="AA105" s="1786"/>
      <c r="AB105" s="1786"/>
      <c r="AC105" s="1786"/>
      <c r="AD105" s="1786"/>
      <c r="AE105" s="2258"/>
      <c r="AF105" s="1192"/>
      <c r="AG105" s="1192"/>
      <c r="AH105" s="1192"/>
      <c r="AI105" s="1192"/>
      <c r="AJ105" s="2267">
        <v>11</v>
      </c>
    </row>
    <row s="35197" customFormat="1" customHeight="1" ht="11.549999999999999">
      <c r="A106" s="1613"/>
      <c r="B106" s="2262"/>
      <c r="C106" s="2262"/>
      <c r="D106" s="977"/>
      <c r="J106" s="4642"/>
      <c r="K106" s="4642"/>
      <c r="L106" s="4642"/>
      <c r="M106" s="4642"/>
      <c r="O106" s="1786"/>
      <c r="P106" s="2262"/>
      <c r="Q106" s="2262"/>
      <c r="R106" s="1786"/>
      <c r="S106" s="1786"/>
      <c r="T106" s="1786"/>
      <c r="U106" s="1786"/>
      <c r="V106" s="2262"/>
      <c r="W106" s="1786"/>
      <c r="X106" s="1786"/>
      <c r="Y106" s="1170"/>
      <c r="Z106" s="1786"/>
      <c r="AA106" s="1786"/>
      <c r="AB106" s="1786"/>
      <c r="AC106" s="1786"/>
      <c r="AD106" s="1786"/>
      <c r="AE106" s="2258"/>
      <c r="AF106" s="1192"/>
      <c r="AG106" s="1192"/>
      <c r="AH106" s="1192"/>
      <c r="AI106" s="1192"/>
      <c r="AJ106" s="2267">
        <v>11</v>
      </c>
    </row>
    <row s="35197" customFormat="1" customHeight="1" ht="11.549999999999999">
      <c r="A107" s="1613"/>
      <c r="B107" s="2262"/>
      <c r="C107" s="2262"/>
      <c r="D107" s="977"/>
      <c r="J107" s="4642"/>
      <c r="K107" s="4642"/>
      <c r="L107" s="4642"/>
      <c r="M107" s="4642"/>
      <c r="O107" s="1786"/>
      <c r="P107" s="2262"/>
      <c r="Q107" s="2262"/>
      <c r="R107" s="1786"/>
      <c r="S107" s="1786"/>
      <c r="T107" s="1786"/>
      <c r="U107" s="1786"/>
      <c r="V107" s="2262"/>
      <c r="W107" s="1786"/>
      <c r="X107" s="1786"/>
      <c r="Y107" s="1170"/>
      <c r="Z107" s="1786"/>
      <c r="AA107" s="1786"/>
      <c r="AB107" s="1786"/>
      <c r="AC107" s="1786"/>
      <c r="AD107" s="1786"/>
      <c r="AE107" s="2258"/>
      <c r="AF107" s="1192"/>
      <c r="AG107" s="1192"/>
      <c r="AH107" s="1192"/>
      <c r="AI107" s="1192"/>
      <c r="AJ107" s="2267">
        <v>11</v>
      </c>
    </row>
    <row s="35197" customFormat="1" customHeight="1" ht="11.549999999999999">
      <c r="A108" s="1613"/>
      <c r="B108" s="2262"/>
      <c r="C108" s="2262"/>
      <c r="D108" s="977"/>
      <c r="J108" s="4642"/>
      <c r="K108" s="4642"/>
      <c r="L108" s="4642"/>
      <c r="M108" s="4642"/>
      <c r="O108" s="1786"/>
      <c r="P108" s="2262"/>
      <c r="Q108" s="2262"/>
      <c r="R108" s="1786"/>
      <c r="S108" s="1786"/>
      <c r="T108" s="1786"/>
      <c r="U108" s="1786"/>
      <c r="V108" s="2262"/>
      <c r="W108" s="1786"/>
      <c r="X108" s="1786"/>
      <c r="Y108" s="1170"/>
      <c r="Z108" s="1786"/>
      <c r="AA108" s="1786"/>
      <c r="AB108" s="1786"/>
      <c r="AC108" s="1786"/>
      <c r="AD108" s="1786"/>
      <c r="AE108" s="2258"/>
      <c r="AF108" s="1192"/>
      <c r="AG108" s="1192"/>
      <c r="AH108" s="1192"/>
      <c r="AI108" s="1192"/>
      <c r="AJ108" s="2267">
        <v>11</v>
      </c>
    </row>
    <row s="35197" customFormat="1" customHeight="1" ht="11.549999999999999">
      <c r="A109" s="1613"/>
      <c r="B109" s="2262"/>
      <c r="C109" s="2262"/>
      <c r="D109" s="977"/>
      <c r="J109" s="4642"/>
      <c r="K109" s="4642"/>
      <c r="L109" s="4642"/>
      <c r="M109" s="4642"/>
      <c r="O109" s="1786"/>
      <c r="P109" s="2262"/>
      <c r="Q109" s="2262"/>
      <c r="R109" s="1786"/>
      <c r="S109" s="1786"/>
      <c r="T109" s="1786"/>
      <c r="U109" s="1786"/>
      <c r="V109" s="2262"/>
      <c r="W109" s="1786"/>
      <c r="X109" s="1786"/>
      <c r="Y109" s="1170"/>
      <c r="Z109" s="1786"/>
      <c r="AA109" s="1786"/>
      <c r="AB109" s="1786"/>
      <c r="AC109" s="1786"/>
      <c r="AD109" s="1786"/>
      <c r="AE109" s="2258"/>
      <c r="AF109" s="1192"/>
      <c r="AG109" s="1192"/>
      <c r="AH109" s="1192"/>
      <c r="AI109" s="1192"/>
      <c r="AJ109" s="2267">
        <v>11</v>
      </c>
    </row>
    <row s="35197" customFormat="1" customHeight="1" ht="11.549999999999999">
      <c r="A110" s="1613"/>
      <c r="B110" s="2262"/>
      <c r="C110" s="2262"/>
      <c r="D110" s="977"/>
      <c r="J110" s="4642"/>
      <c r="K110" s="4642"/>
      <c r="L110" s="4642"/>
      <c r="M110" s="4642"/>
      <c r="O110" s="1786"/>
      <c r="P110" s="2262"/>
      <c r="Q110" s="2262"/>
      <c r="R110" s="1786"/>
      <c r="S110" s="1786"/>
      <c r="T110" s="1786"/>
      <c r="U110" s="1786"/>
      <c r="V110" s="2262"/>
      <c r="W110" s="1786"/>
      <c r="X110" s="1786"/>
      <c r="Y110" s="1170"/>
      <c r="Z110" s="1786"/>
      <c r="AA110" s="1786"/>
      <c r="AB110" s="1786"/>
      <c r="AC110" s="1786"/>
      <c r="AD110" s="1786"/>
      <c r="AE110" s="2258"/>
      <c r="AF110" s="1192"/>
      <c r="AG110" s="1192"/>
      <c r="AH110" s="1192"/>
      <c r="AI110" s="1192"/>
      <c r="AJ110" s="2267">
        <v>11</v>
      </c>
    </row>
    <row s="35197" customFormat="1" customHeight="1" ht="11.549999999999999">
      <c r="A111" s="1613"/>
      <c r="B111" s="2262"/>
      <c r="C111" s="2262"/>
      <c r="D111" s="977"/>
      <c r="J111" s="4642"/>
      <c r="K111" s="4642"/>
      <c r="L111" s="4642"/>
      <c r="M111" s="4642"/>
      <c r="O111" s="1786"/>
      <c r="P111" s="2262"/>
      <c r="Q111" s="2262"/>
      <c r="R111" s="1786"/>
      <c r="S111" s="1786"/>
      <c r="T111" s="1786"/>
      <c r="U111" s="1786"/>
      <c r="V111" s="2262"/>
      <c r="W111" s="1786"/>
      <c r="X111" s="1786"/>
      <c r="Y111" s="1170"/>
      <c r="Z111" s="1786"/>
      <c r="AA111" s="1786"/>
      <c r="AB111" s="1786"/>
      <c r="AC111" s="1786"/>
      <c r="AD111" s="1786"/>
      <c r="AE111" s="2258"/>
      <c r="AF111" s="1192"/>
      <c r="AG111" s="1192"/>
      <c r="AH111" s="1192"/>
      <c r="AI111" s="1192"/>
      <c r="AJ111" s="2267">
        <v>11</v>
      </c>
    </row>
    <row s="35197" customFormat="1" customHeight="1" ht="11.549999999999999">
      <c r="A112" s="1613"/>
      <c r="B112" s="2262"/>
      <c r="C112" s="2262"/>
      <c r="D112" s="977"/>
      <c r="J112" s="4642"/>
      <c r="K112" s="4642"/>
      <c r="L112" s="4642"/>
      <c r="M112" s="4642"/>
      <c r="O112" s="1786"/>
      <c r="P112" s="2262"/>
      <c r="Q112" s="2262"/>
      <c r="R112" s="1786"/>
      <c r="S112" s="1786"/>
      <c r="T112" s="1786"/>
      <c r="U112" s="1786"/>
      <c r="V112" s="2262"/>
      <c r="W112" s="1786"/>
      <c r="X112" s="1786"/>
      <c r="Y112" s="1170"/>
      <c r="Z112" s="1786"/>
      <c r="AA112" s="1786"/>
      <c r="AB112" s="1786"/>
      <c r="AC112" s="1786"/>
      <c r="AD112" s="1786"/>
      <c r="AE112" s="2258"/>
      <c r="AF112" s="1192"/>
      <c r="AG112" s="1192"/>
      <c r="AH112" s="1192"/>
      <c r="AI112" s="1192"/>
      <c r="AJ112" s="2267">
        <v>11</v>
      </c>
    </row>
    <row s="35197" customFormat="1" customHeight="1" ht="11.549999999999999">
      <c r="A113" s="1613"/>
      <c r="B113" s="2262"/>
      <c r="C113" s="2262"/>
      <c r="D113" s="977"/>
      <c r="J113" s="4642"/>
      <c r="K113" s="4642"/>
      <c r="L113" s="4642"/>
      <c r="M113" s="4642"/>
      <c r="O113" s="1786"/>
      <c r="P113" s="2262"/>
      <c r="Q113" s="2262"/>
      <c r="R113" s="1786"/>
      <c r="S113" s="1786"/>
      <c r="T113" s="1786"/>
      <c r="U113" s="1786"/>
      <c r="V113" s="2262"/>
      <c r="W113" s="1786"/>
      <c r="X113" s="1786"/>
      <c r="Y113" s="1170"/>
      <c r="Z113" s="1786"/>
      <c r="AA113" s="1786"/>
      <c r="AB113" s="1786"/>
      <c r="AC113" s="1786"/>
      <c r="AD113" s="1786"/>
      <c r="AE113" s="2258"/>
      <c r="AF113" s="1192"/>
      <c r="AG113" s="1192"/>
      <c r="AH113" s="1192"/>
      <c r="AI113" s="1192"/>
      <c r="AJ113" s="2267">
        <v>11</v>
      </c>
    </row>
    <row s="35197" customFormat="1" customHeight="1" ht="11.549999999999999">
      <c r="A114" s="1613"/>
      <c r="B114" s="2262"/>
      <c r="C114" s="2262"/>
      <c r="D114" s="977"/>
      <c r="J114" s="4642"/>
      <c r="K114" s="4642"/>
      <c r="L114" s="4642"/>
      <c r="M114" s="4642"/>
      <c r="O114" s="1786"/>
      <c r="P114" s="2262"/>
      <c r="Q114" s="2262"/>
      <c r="R114" s="1786"/>
      <c r="S114" s="1786"/>
      <c r="T114" s="1786"/>
      <c r="U114" s="1786"/>
      <c r="V114" s="2262"/>
      <c r="W114" s="1786"/>
      <c r="X114" s="1786"/>
      <c r="Y114" s="1170"/>
      <c r="Z114" s="1786"/>
      <c r="AA114" s="1786"/>
      <c r="AB114" s="1786"/>
      <c r="AC114" s="1786"/>
      <c r="AD114" s="1786"/>
      <c r="AE114" s="2258"/>
      <c r="AF114" s="1192"/>
      <c r="AG114" s="1192"/>
      <c r="AH114" s="1192"/>
      <c r="AI114" s="1192"/>
      <c r="AJ114" s="2267">
        <v>11</v>
      </c>
    </row>
    <row s="35197" customFormat="1" customHeight="1" ht="11.549999999999999">
      <c r="A115" s="1613"/>
      <c r="B115" s="2262"/>
      <c r="C115" s="2262"/>
      <c r="D115" s="977"/>
      <c r="J115" s="4642"/>
      <c r="K115" s="4642"/>
      <c r="L115" s="4642"/>
      <c r="M115" s="4642"/>
      <c r="O115" s="1786"/>
      <c r="P115" s="2262"/>
      <c r="Q115" s="2262"/>
      <c r="R115" s="1786"/>
      <c r="S115" s="1786"/>
      <c r="T115" s="1786"/>
      <c r="U115" s="1786"/>
      <c r="V115" s="2262"/>
      <c r="W115" s="1786"/>
      <c r="X115" s="1786"/>
      <c r="Y115" s="1170"/>
      <c r="Z115" s="1786"/>
      <c r="AA115" s="1786"/>
      <c r="AB115" s="1786"/>
      <c r="AC115" s="1786"/>
      <c r="AD115" s="1786"/>
      <c r="AE115" s="2258"/>
      <c r="AF115" s="1192"/>
      <c r="AG115" s="1192"/>
      <c r="AH115" s="1192"/>
      <c r="AI115" s="1192"/>
      <c r="AJ115" s="2267">
        <v>11</v>
      </c>
    </row>
    <row s="35197" customFormat="1" customHeight="1" ht="11.549999999999999">
      <c r="A116" s="1613"/>
      <c r="B116" s="2262"/>
      <c r="C116" s="2262"/>
      <c r="D116" s="977"/>
      <c r="J116" s="4642"/>
      <c r="K116" s="4642"/>
      <c r="L116" s="4642"/>
      <c r="M116" s="4642"/>
      <c r="O116" s="1786"/>
      <c r="P116" s="2262"/>
      <c r="Q116" s="2262"/>
      <c r="R116" s="1786"/>
      <c r="S116" s="1786"/>
      <c r="T116" s="1786"/>
      <c r="U116" s="1786"/>
      <c r="V116" s="2262"/>
      <c r="W116" s="1786"/>
      <c r="X116" s="1786"/>
      <c r="Y116" s="1170"/>
      <c r="Z116" s="1786"/>
      <c r="AA116" s="1786"/>
      <c r="AB116" s="1786"/>
      <c r="AC116" s="1786"/>
      <c r="AD116" s="1786"/>
      <c r="AE116" s="2258"/>
      <c r="AF116" s="1192"/>
      <c r="AG116" s="1192"/>
      <c r="AH116" s="1192"/>
      <c r="AI116" s="1192"/>
      <c r="AJ116" s="2267">
        <v>11</v>
      </c>
    </row>
    <row s="35197" customFormat="1" customHeight="1" ht="11.549999999999999">
      <c r="A117" s="1613"/>
      <c r="B117" s="2262"/>
      <c r="C117" s="2262"/>
      <c r="D117" s="977"/>
      <c r="J117" s="4642"/>
      <c r="K117" s="4642"/>
      <c r="L117" s="4642"/>
      <c r="M117" s="4642"/>
      <c r="O117" s="1786"/>
      <c r="P117" s="2262"/>
      <c r="Q117" s="2262"/>
      <c r="R117" s="1786"/>
      <c r="S117" s="1786"/>
      <c r="T117" s="1786"/>
      <c r="U117" s="1786"/>
      <c r="V117" s="2262"/>
      <c r="W117" s="1786"/>
      <c r="X117" s="1786"/>
      <c r="Y117" s="1170"/>
      <c r="Z117" s="1786"/>
      <c r="AA117" s="1786"/>
      <c r="AB117" s="1786"/>
      <c r="AC117" s="1786"/>
      <c r="AD117" s="1786"/>
      <c r="AE117" s="2258"/>
      <c r="AF117" s="1192"/>
      <c r="AG117" s="1192"/>
      <c r="AH117" s="1192"/>
      <c r="AI117" s="1192"/>
      <c r="AJ117" s="2267">
        <v>11</v>
      </c>
    </row>
    <row s="35197" customFormat="1" customHeight="1" ht="11.549999999999999">
      <c r="A118" s="1613"/>
      <c r="B118" s="2262"/>
      <c r="C118" s="2262"/>
      <c r="D118" s="977"/>
      <c r="J118" s="4642"/>
      <c r="K118" s="4642"/>
      <c r="L118" s="4642"/>
      <c r="M118" s="4642"/>
      <c r="O118" s="1786"/>
      <c r="P118" s="2262"/>
      <c r="Q118" s="2262"/>
      <c r="R118" s="1786"/>
      <c r="S118" s="1786"/>
      <c r="T118" s="1786"/>
      <c r="U118" s="1786"/>
      <c r="V118" s="2262"/>
      <c r="W118" s="1786"/>
      <c r="X118" s="1786"/>
      <c r="Y118" s="1170"/>
      <c r="Z118" s="1786"/>
      <c r="AA118" s="1786"/>
      <c r="AB118" s="1786"/>
      <c r="AC118" s="1786"/>
      <c r="AD118" s="1786"/>
      <c r="AE118" s="2258"/>
      <c r="AF118" s="1192"/>
      <c r="AG118" s="1192"/>
      <c r="AH118" s="1192"/>
      <c r="AI118" s="1192"/>
      <c r="AJ118" s="2267">
        <v>11</v>
      </c>
    </row>
    <row s="35197" customFormat="1" customHeight="1" ht="11.549999999999999">
      <c r="A119" s="1613"/>
      <c r="B119" s="2262"/>
      <c r="C119" s="2262"/>
      <c r="D119" s="977"/>
      <c r="J119" s="4642"/>
      <c r="K119" s="4642"/>
      <c r="L119" s="4642"/>
      <c r="M119" s="4642"/>
      <c r="O119" s="1786"/>
      <c r="P119" s="2262"/>
      <c r="Q119" s="2262"/>
      <c r="R119" s="1786"/>
      <c r="S119" s="1786"/>
      <c r="T119" s="1786"/>
      <c r="U119" s="1786"/>
      <c r="V119" s="2262"/>
      <c r="W119" s="1786"/>
      <c r="X119" s="1786"/>
      <c r="Y119" s="1170"/>
      <c r="Z119" s="1786"/>
      <c r="AA119" s="1786"/>
      <c r="AB119" s="1786"/>
      <c r="AC119" s="1786"/>
      <c r="AD119" s="1786"/>
      <c r="AE119" s="2258"/>
      <c r="AF119" s="1192"/>
      <c r="AG119" s="1192"/>
      <c r="AH119" s="1192"/>
      <c r="AI119" s="1192"/>
      <c r="AJ119" s="2267">
        <v>11</v>
      </c>
    </row>
    <row s="35197" customFormat="1" customHeight="1" ht="11.549999999999999">
      <c r="A120" s="1613"/>
      <c r="B120" s="2262"/>
      <c r="C120" s="2262"/>
      <c r="D120" s="977"/>
      <c r="J120" s="4642"/>
      <c r="K120" s="4642"/>
      <c r="L120" s="4642"/>
      <c r="M120" s="4642"/>
      <c r="O120" s="1786"/>
      <c r="P120" s="2262"/>
      <c r="Q120" s="2262"/>
      <c r="R120" s="1786"/>
      <c r="S120" s="1786"/>
      <c r="T120" s="1786"/>
      <c r="U120" s="1786"/>
      <c r="V120" s="2262"/>
      <c r="W120" s="1786"/>
      <c r="X120" s="1786"/>
      <c r="Y120" s="1170"/>
      <c r="Z120" s="1786"/>
      <c r="AA120" s="1786"/>
      <c r="AB120" s="1786"/>
      <c r="AC120" s="1786"/>
      <c r="AD120" s="1786"/>
      <c r="AE120" s="2258"/>
      <c r="AF120" s="1192"/>
      <c r="AG120" s="1192"/>
      <c r="AH120" s="1192"/>
      <c r="AI120" s="1192"/>
      <c r="AJ120" s="2267">
        <v>11</v>
      </c>
    </row>
    <row s="35197" customFormat="1" customHeight="1" ht="11.549999999999999">
      <c r="A121" s="1613"/>
      <c r="B121" s="2262"/>
      <c r="C121" s="2262"/>
      <c r="D121" s="977"/>
      <c r="J121" s="4642"/>
      <c r="K121" s="4642"/>
      <c r="L121" s="4642"/>
      <c r="M121" s="4642"/>
      <c r="O121" s="1786"/>
      <c r="P121" s="2262"/>
      <c r="Q121" s="2262"/>
      <c r="R121" s="1786"/>
      <c r="S121" s="1786"/>
      <c r="T121" s="1786"/>
      <c r="U121" s="1786"/>
      <c r="V121" s="2262"/>
      <c r="W121" s="1786"/>
      <c r="X121" s="1786"/>
      <c r="Y121" s="1170"/>
      <c r="Z121" s="1786"/>
      <c r="AA121" s="1786"/>
      <c r="AB121" s="1786"/>
      <c r="AC121" s="1786"/>
      <c r="AD121" s="1786"/>
      <c r="AE121" s="2258"/>
      <c r="AF121" s="1192"/>
      <c r="AG121" s="1192"/>
      <c r="AH121" s="1192"/>
      <c r="AI121" s="1192"/>
      <c r="AJ121" s="2267">
        <v>11</v>
      </c>
    </row>
    <row s="35197" customFormat="1" customHeight="1" ht="11.549999999999999">
      <c r="A122" s="1613"/>
      <c r="B122" s="2262"/>
      <c r="C122" s="2262"/>
      <c r="D122" s="977"/>
      <c r="J122" s="4642"/>
      <c r="K122" s="4642"/>
      <c r="L122" s="4642"/>
      <c r="M122" s="4642"/>
      <c r="O122" s="1786"/>
      <c r="P122" s="2262"/>
      <c r="Q122" s="2262"/>
      <c r="R122" s="1786"/>
      <c r="S122" s="1786"/>
      <c r="T122" s="1786"/>
      <c r="U122" s="1786"/>
      <c r="V122" s="2262"/>
      <c r="W122" s="1786"/>
      <c r="X122" s="1786"/>
      <c r="Y122" s="1170"/>
      <c r="Z122" s="1786"/>
      <c r="AA122" s="1786"/>
      <c r="AB122" s="1786"/>
      <c r="AC122" s="1786"/>
      <c r="AD122" s="1786"/>
      <c r="AE122" s="2258"/>
      <c r="AF122" s="1192"/>
      <c r="AG122" s="1192"/>
      <c r="AH122" s="1192"/>
      <c r="AI122" s="1192"/>
      <c r="AJ122" s="2267">
        <v>11</v>
      </c>
    </row>
    <row s="35197" customFormat="1" customHeight="1" ht="11.549999999999999">
      <c r="A123" s="1613"/>
      <c r="B123" s="2262"/>
      <c r="C123" s="2262"/>
      <c r="D123" s="977"/>
      <c r="J123" s="4642"/>
      <c r="K123" s="4642"/>
      <c r="L123" s="4642"/>
      <c r="M123" s="4642"/>
      <c r="O123" s="1786"/>
      <c r="P123" s="2262"/>
      <c r="Q123" s="2262"/>
      <c r="R123" s="1786"/>
      <c r="S123" s="1786"/>
      <c r="T123" s="1786"/>
      <c r="U123" s="1786"/>
      <c r="V123" s="2262"/>
      <c r="W123" s="1786"/>
      <c r="X123" s="1786"/>
      <c r="Y123" s="1170"/>
      <c r="Z123" s="1786"/>
      <c r="AA123" s="1786"/>
      <c r="AB123" s="1786"/>
      <c r="AC123" s="1786"/>
      <c r="AD123" s="1786"/>
      <c r="AE123" s="2258"/>
      <c r="AF123" s="1192"/>
      <c r="AG123" s="1192"/>
      <c r="AH123" s="1192"/>
      <c r="AI123" s="1192"/>
      <c r="AJ123" s="2267">
        <v>11</v>
      </c>
    </row>
    <row s="35197" customFormat="1" customHeight="1" ht="11.549999999999999">
      <c r="A124" s="1613"/>
      <c r="B124" s="2262"/>
      <c r="C124" s="2262"/>
      <c r="D124" s="977"/>
      <c r="J124" s="4642"/>
      <c r="K124" s="4642"/>
      <c r="L124" s="4642"/>
      <c r="M124" s="4642"/>
      <c r="O124" s="1786"/>
      <c r="P124" s="2262"/>
      <c r="Q124" s="2262"/>
      <c r="R124" s="1786"/>
      <c r="S124" s="1786"/>
      <c r="T124" s="1786"/>
      <c r="U124" s="1786"/>
      <c r="V124" s="2262"/>
      <c r="W124" s="1786"/>
      <c r="X124" s="1786"/>
      <c r="Y124" s="1170"/>
      <c r="Z124" s="1786"/>
      <c r="AA124" s="1786"/>
      <c r="AB124" s="1786"/>
      <c r="AC124" s="1786"/>
      <c r="AD124" s="1786"/>
      <c r="AE124" s="2258"/>
      <c r="AF124" s="1192"/>
      <c r="AG124" s="1192"/>
      <c r="AH124" s="1192"/>
      <c r="AI124" s="1192"/>
      <c r="AJ124" s="2267">
        <v>11</v>
      </c>
    </row>
    <row s="35197" customFormat="1" customHeight="1" ht="11.549999999999999">
      <c r="A125" s="1613"/>
      <c r="B125" s="2262"/>
      <c r="C125" s="2262"/>
      <c r="D125" s="977"/>
      <c r="J125" s="4642"/>
      <c r="K125" s="4642"/>
      <c r="L125" s="4642"/>
      <c r="M125" s="4642"/>
      <c r="O125" s="1786"/>
      <c r="P125" s="2262"/>
      <c r="Q125" s="2262"/>
      <c r="R125" s="1786"/>
      <c r="S125" s="1786"/>
      <c r="T125" s="1786"/>
      <c r="U125" s="1786"/>
      <c r="V125" s="2262"/>
      <c r="W125" s="1786"/>
      <c r="X125" s="1786"/>
      <c r="Y125" s="1170"/>
      <c r="Z125" s="1786"/>
      <c r="AA125" s="1786"/>
      <c r="AB125" s="1786"/>
      <c r="AC125" s="1786"/>
      <c r="AD125" s="1786"/>
      <c r="AE125" s="2258"/>
      <c r="AF125" s="1192"/>
      <c r="AG125" s="1192"/>
      <c r="AH125" s="1192"/>
      <c r="AI125" s="1192"/>
      <c r="AJ125" s="2267">
        <v>11</v>
      </c>
    </row>
    <row s="35197" customFormat="1" customHeight="1" ht="11.549999999999999">
      <c r="A126" s="1613"/>
      <c r="B126" s="2262"/>
      <c r="C126" s="2262"/>
      <c r="D126" s="977"/>
      <c r="J126" s="4642"/>
      <c r="K126" s="4642"/>
      <c r="L126" s="4642"/>
      <c r="M126" s="4642"/>
      <c r="O126" s="1786"/>
      <c r="P126" s="2262"/>
      <c r="Q126" s="2262"/>
      <c r="R126" s="1786"/>
      <c r="S126" s="1786"/>
      <c r="T126" s="1786"/>
      <c r="U126" s="1786"/>
      <c r="V126" s="2262"/>
      <c r="W126" s="1786"/>
      <c r="X126" s="1786"/>
      <c r="Y126" s="1170"/>
      <c r="Z126" s="1786"/>
      <c r="AA126" s="1786"/>
      <c r="AB126" s="1786"/>
      <c r="AC126" s="1786"/>
      <c r="AD126" s="1786"/>
      <c r="AE126" s="2258"/>
      <c r="AF126" s="1192"/>
      <c r="AG126" s="1192"/>
      <c r="AH126" s="1192"/>
      <c r="AI126" s="1192"/>
      <c r="AJ126" s="2267">
        <v>11</v>
      </c>
    </row>
    <row s="35197" customFormat="1" customHeight="1" ht="11.549999999999999">
      <c r="A127" s="1613"/>
      <c r="B127" s="2262"/>
      <c r="C127" s="2262"/>
      <c r="D127" s="977"/>
      <c r="J127" s="4642"/>
      <c r="K127" s="4642"/>
      <c r="L127" s="4642"/>
      <c r="M127" s="4642"/>
      <c r="O127" s="1786"/>
      <c r="P127" s="2262"/>
      <c r="Q127" s="2262"/>
      <c r="R127" s="1786"/>
      <c r="S127" s="1786"/>
      <c r="T127" s="1786"/>
      <c r="U127" s="1786"/>
      <c r="V127" s="2262"/>
      <c r="W127" s="1786"/>
      <c r="X127" s="1786"/>
      <c r="Y127" s="1170"/>
      <c r="Z127" s="1786"/>
      <c r="AA127" s="1786"/>
      <c r="AB127" s="1786"/>
      <c r="AC127" s="1786"/>
      <c r="AD127" s="1786"/>
      <c r="AE127" s="2258"/>
      <c r="AF127" s="1192"/>
      <c r="AG127" s="1192"/>
      <c r="AH127" s="1192"/>
      <c r="AI127" s="1192"/>
      <c r="AJ127" s="2267">
        <v>11</v>
      </c>
    </row>
    <row s="35197" customFormat="1" customHeight="1" ht="11.549999999999999">
      <c r="A128" s="1613"/>
      <c r="B128" s="2262"/>
      <c r="C128" s="2262"/>
      <c r="D128" s="977"/>
      <c r="J128" s="4642"/>
      <c r="K128" s="4642"/>
      <c r="L128" s="4642"/>
      <c r="M128" s="4642"/>
      <c r="O128" s="1786"/>
      <c r="P128" s="2262"/>
      <c r="Q128" s="2262"/>
      <c r="R128" s="1786"/>
      <c r="S128" s="1786"/>
      <c r="T128" s="1786"/>
      <c r="U128" s="1786"/>
      <c r="V128" s="2262"/>
      <c r="W128" s="1786"/>
      <c r="X128" s="1786"/>
      <c r="Y128" s="1170"/>
      <c r="Z128" s="1786"/>
      <c r="AA128" s="1786"/>
      <c r="AB128" s="1786"/>
      <c r="AC128" s="1786"/>
      <c r="AD128" s="1786"/>
      <c r="AE128" s="2258"/>
      <c r="AF128" s="1192"/>
      <c r="AG128" s="1192"/>
      <c r="AH128" s="1192"/>
      <c r="AI128" s="1192"/>
      <c r="AJ128" s="2267">
        <v>11</v>
      </c>
    </row>
    <row s="35197" customFormat="1" customHeight="1" ht="11.549999999999999">
      <c r="A129" s="1613"/>
      <c r="B129" s="2262"/>
      <c r="C129" s="2262"/>
      <c r="D129" s="977"/>
      <c r="J129" s="4642"/>
      <c r="K129" s="4642"/>
      <c r="L129" s="4642"/>
      <c r="M129" s="4642"/>
      <c r="O129" s="1786"/>
      <c r="P129" s="2262"/>
      <c r="Q129" s="2262"/>
      <c r="R129" s="1786"/>
      <c r="S129" s="1786"/>
      <c r="T129" s="1786"/>
      <c r="U129" s="1786"/>
      <c r="V129" s="2262"/>
      <c r="W129" s="1786"/>
      <c r="X129" s="1786"/>
      <c r="Y129" s="1170"/>
      <c r="Z129" s="1786"/>
      <c r="AA129" s="1786"/>
      <c r="AB129" s="1786"/>
      <c r="AC129" s="1786"/>
      <c r="AD129" s="1786"/>
      <c r="AE129" s="2258"/>
      <c r="AF129" s="1192"/>
      <c r="AG129" s="1192"/>
      <c r="AH129" s="1192"/>
      <c r="AI129" s="1192"/>
      <c r="AJ129" s="2267">
        <v>11</v>
      </c>
    </row>
    <row s="35197" customFormat="1" customHeight="1" ht="11.549999999999999">
      <c r="A130" s="1613"/>
      <c r="B130" s="2262"/>
      <c r="C130" s="2262"/>
      <c r="D130" s="977"/>
      <c r="J130" s="4642"/>
      <c r="K130" s="4642"/>
      <c r="L130" s="4642"/>
      <c r="M130" s="4642"/>
      <c r="O130" s="1786"/>
      <c r="P130" s="2262"/>
      <c r="Q130" s="2262"/>
      <c r="R130" s="1786"/>
      <c r="S130" s="1786"/>
      <c r="T130" s="1786"/>
      <c r="U130" s="1786"/>
      <c r="V130" s="2262"/>
      <c r="W130" s="1786"/>
      <c r="X130" s="1786"/>
      <c r="Y130" s="1170"/>
      <c r="Z130" s="1786"/>
      <c r="AA130" s="1786"/>
      <c r="AB130" s="1786"/>
      <c r="AC130" s="1786"/>
      <c r="AD130" s="1786"/>
      <c r="AE130" s="2258"/>
      <c r="AF130" s="1192"/>
      <c r="AG130" s="1192"/>
      <c r="AH130" s="1192"/>
      <c r="AI130" s="1192"/>
      <c r="AJ130" s="2267">
        <v>11</v>
      </c>
    </row>
    <row s="35197" customFormat="1" customHeight="1" ht="11.549999999999999">
      <c r="A131" s="1613"/>
      <c r="B131" s="2262"/>
      <c r="C131" s="2262"/>
      <c r="D131" s="977"/>
      <c r="J131" s="4642"/>
      <c r="K131" s="4642"/>
      <c r="L131" s="4642"/>
      <c r="M131" s="4642"/>
      <c r="O131" s="1786"/>
      <c r="P131" s="2262"/>
      <c r="Q131" s="2262"/>
      <c r="R131" s="1786"/>
      <c r="S131" s="1786"/>
      <c r="T131" s="1786"/>
      <c r="U131" s="1786"/>
      <c r="V131" s="2262"/>
      <c r="W131" s="1786"/>
      <c r="X131" s="1786"/>
      <c r="Y131" s="1170"/>
      <c r="Z131" s="1786"/>
      <c r="AA131" s="1786"/>
      <c r="AB131" s="1786"/>
      <c r="AC131" s="1786"/>
      <c r="AD131" s="1786"/>
      <c r="AE131" s="2258"/>
      <c r="AF131" s="1192"/>
      <c r="AG131" s="1192"/>
      <c r="AH131" s="1192"/>
      <c r="AI131" s="1192"/>
      <c r="AJ131" s="2267">
        <v>11</v>
      </c>
    </row>
    <row s="35197" customFormat="1" customHeight="1" ht="11.549999999999999">
      <c r="A132" s="1613"/>
      <c r="B132" s="2262"/>
      <c r="C132" s="2262"/>
      <c r="D132" s="977"/>
      <c r="J132" s="4642"/>
      <c r="K132" s="4642"/>
      <c r="L132" s="4642"/>
      <c r="M132" s="4642"/>
      <c r="O132" s="1786"/>
      <c r="P132" s="2262"/>
      <c r="Q132" s="2262"/>
      <c r="R132" s="1786"/>
      <c r="S132" s="1786"/>
      <c r="T132" s="1786"/>
      <c r="U132" s="1786"/>
      <c r="V132" s="2262"/>
      <c r="W132" s="1786"/>
      <c r="X132" s="1786"/>
      <c r="Y132" s="1170"/>
      <c r="Z132" s="1786"/>
      <c r="AA132" s="1786"/>
      <c r="AB132" s="1786"/>
      <c r="AC132" s="1786"/>
      <c r="AD132" s="1786"/>
      <c r="AE132" s="2258"/>
      <c r="AF132" s="1192"/>
      <c r="AG132" s="1192"/>
      <c r="AH132" s="1192"/>
      <c r="AI132" s="1192"/>
      <c r="AJ132" s="2267">
        <v>11</v>
      </c>
    </row>
    <row s="35197" customFormat="1" customHeight="1" ht="11.549999999999999">
      <c r="A133" s="1613"/>
      <c r="B133" s="2262"/>
      <c r="C133" s="2262"/>
      <c r="D133" s="977"/>
      <c r="J133" s="4642"/>
      <c r="K133" s="4642"/>
      <c r="L133" s="4642"/>
      <c r="M133" s="4642"/>
      <c r="O133" s="1786"/>
      <c r="P133" s="2262"/>
      <c r="Q133" s="2262"/>
      <c r="R133" s="1786"/>
      <c r="S133" s="1786"/>
      <c r="T133" s="1786"/>
      <c r="U133" s="1786"/>
      <c r="V133" s="2262"/>
      <c r="W133" s="1786"/>
      <c r="X133" s="1786"/>
      <c r="Y133" s="1170"/>
      <c r="Z133" s="1786"/>
      <c r="AA133" s="1786"/>
      <c r="AB133" s="1786"/>
      <c r="AC133" s="1786"/>
      <c r="AD133" s="1786"/>
      <c r="AE133" s="2258"/>
      <c r="AF133" s="1192"/>
      <c r="AG133" s="1192"/>
      <c r="AH133" s="1192"/>
      <c r="AI133" s="1192"/>
      <c r="AJ133" s="2267">
        <v>11</v>
      </c>
    </row>
    <row s="35197" customFormat="1" customHeight="1" ht="11.549999999999999">
      <c r="A134" s="1613"/>
      <c r="B134" s="2262"/>
      <c r="C134" s="2262"/>
      <c r="D134" s="977"/>
      <c r="J134" s="4642"/>
      <c r="K134" s="4642"/>
      <c r="L134" s="4642"/>
      <c r="M134" s="4642"/>
      <c r="O134" s="1786"/>
      <c r="P134" s="2262"/>
      <c r="Q134" s="2262"/>
      <c r="R134" s="1786"/>
      <c r="S134" s="1786"/>
      <c r="T134" s="1786"/>
      <c r="U134" s="1786"/>
      <c r="V134" s="2262"/>
      <c r="W134" s="1786"/>
      <c r="X134" s="1786"/>
      <c r="Y134" s="1170"/>
      <c r="Z134" s="1786"/>
      <c r="AA134" s="1786"/>
      <c r="AB134" s="1786"/>
      <c r="AC134" s="1786"/>
      <c r="AD134" s="1786"/>
      <c r="AE134" s="2258"/>
      <c r="AF134" s="1192"/>
      <c r="AG134" s="1192"/>
      <c r="AH134" s="1192"/>
      <c r="AI134" s="1192"/>
      <c r="AJ134" s="2267">
        <v>11</v>
      </c>
    </row>
    <row s="35197" customFormat="1" customHeight="1" ht="11.549999999999999">
      <c r="A135" s="1613"/>
      <c r="B135" s="2262"/>
      <c r="C135" s="2262"/>
      <c r="D135" s="977"/>
      <c r="J135" s="4642"/>
      <c r="K135" s="4642"/>
      <c r="L135" s="4642"/>
      <c r="M135" s="4642"/>
      <c r="O135" s="1786"/>
      <c r="P135" s="2262"/>
      <c r="Q135" s="2262"/>
      <c r="R135" s="1786"/>
      <c r="S135" s="1786"/>
      <c r="T135" s="1786"/>
      <c r="U135" s="1786"/>
      <c r="V135" s="2262"/>
      <c r="W135" s="1786"/>
      <c r="X135" s="1786"/>
      <c r="Y135" s="1170"/>
      <c r="Z135" s="1786"/>
      <c r="AA135" s="1786"/>
      <c r="AB135" s="1786"/>
      <c r="AC135" s="1786"/>
      <c r="AD135" s="1786"/>
      <c r="AE135" s="2258"/>
      <c r="AF135" s="1192"/>
      <c r="AG135" s="1192"/>
      <c r="AH135" s="1192"/>
      <c r="AI135" s="1192"/>
      <c r="AJ135" s="2267">
        <v>11</v>
      </c>
    </row>
    <row s="35197" customFormat="1" customHeight="1" ht="11.549999999999999">
      <c r="A136" s="1613"/>
      <c r="B136" s="2262"/>
      <c r="C136" s="2262"/>
      <c r="D136" s="977"/>
      <c r="J136" s="4642"/>
      <c r="K136" s="4642"/>
      <c r="L136" s="4642"/>
      <c r="M136" s="4642"/>
      <c r="O136" s="1786"/>
      <c r="P136" s="2262"/>
      <c r="Q136" s="2262"/>
      <c r="R136" s="1786"/>
      <c r="S136" s="1786"/>
      <c r="T136" s="1786"/>
      <c r="U136" s="1786"/>
      <c r="V136" s="2262"/>
      <c r="W136" s="1786"/>
      <c r="X136" s="1786"/>
      <c r="Y136" s="1170"/>
      <c r="Z136" s="1786"/>
      <c r="AA136" s="1786"/>
      <c r="AB136" s="1786"/>
      <c r="AC136" s="1786"/>
      <c r="AD136" s="1786"/>
      <c r="AE136" s="2258"/>
      <c r="AF136" s="1192"/>
      <c r="AG136" s="1192"/>
      <c r="AH136" s="1192"/>
      <c r="AI136" s="1192"/>
      <c r="AJ136" s="2267">
        <v>11</v>
      </c>
    </row>
    <row s="35197" customFormat="1" customHeight="1" ht="11.549999999999999">
      <c r="A137" s="1613"/>
      <c r="B137" s="2262"/>
      <c r="C137" s="2262"/>
      <c r="D137" s="977"/>
      <c r="J137" s="4642"/>
      <c r="K137" s="4642"/>
      <c r="L137" s="4642"/>
      <c r="M137" s="4642"/>
      <c r="O137" s="1786"/>
      <c r="P137" s="2262"/>
      <c r="Q137" s="2262"/>
      <c r="R137" s="1786"/>
      <c r="S137" s="1786"/>
      <c r="T137" s="1786"/>
      <c r="U137" s="1786"/>
      <c r="V137" s="2262"/>
      <c r="W137" s="1786"/>
      <c r="X137" s="1786"/>
      <c r="Y137" s="1170"/>
      <c r="Z137" s="1786"/>
      <c r="AA137" s="1786"/>
      <c r="AB137" s="1786"/>
      <c r="AC137" s="1786"/>
      <c r="AD137" s="1786"/>
      <c r="AE137" s="2258"/>
      <c r="AF137" s="1192"/>
      <c r="AG137" s="1192"/>
      <c r="AH137" s="1192"/>
      <c r="AI137" s="1192"/>
      <c r="AJ137" s="2267">
        <v>11</v>
      </c>
    </row>
    <row s="35197" customFormat="1" customHeight="1" ht="11.549999999999999">
      <c r="A138" s="1613"/>
      <c r="B138" s="2262"/>
      <c r="C138" s="2262"/>
      <c r="D138" s="977"/>
      <c r="J138" s="4642"/>
      <c r="K138" s="4642"/>
      <c r="L138" s="4642"/>
      <c r="M138" s="4642"/>
      <c r="O138" s="1786"/>
      <c r="P138" s="2262"/>
      <c r="Q138" s="2262"/>
      <c r="R138" s="1786"/>
      <c r="S138" s="1786"/>
      <c r="T138" s="1786"/>
      <c r="U138" s="1786"/>
      <c r="V138" s="2262"/>
      <c r="W138" s="1786"/>
      <c r="X138" s="1786"/>
      <c r="Y138" s="1170"/>
      <c r="Z138" s="1786"/>
      <c r="AA138" s="1786"/>
      <c r="AB138" s="1786"/>
      <c r="AC138" s="1786"/>
      <c r="AD138" s="1786"/>
      <c r="AE138" s="2258"/>
      <c r="AF138" s="1192"/>
      <c r="AG138" s="1192"/>
      <c r="AH138" s="1192"/>
      <c r="AI138" s="1192"/>
      <c r="AJ138" s="2267">
        <v>11</v>
      </c>
    </row>
    <row s="35197" customFormat="1" customHeight="1" ht="11.549999999999999">
      <c r="A139" s="1613"/>
      <c r="B139" s="2262"/>
      <c r="C139" s="2262"/>
      <c r="D139" s="977"/>
      <c r="J139" s="4642"/>
      <c r="K139" s="4642"/>
      <c r="L139" s="4642"/>
      <c r="M139" s="4642"/>
      <c r="O139" s="1786"/>
      <c r="P139" s="2262"/>
      <c r="Q139" s="2262"/>
      <c r="R139" s="1786"/>
      <c r="S139" s="1786"/>
      <c r="T139" s="1786"/>
      <c r="U139" s="1786"/>
      <c r="V139" s="2262"/>
      <c r="W139" s="1786"/>
      <c r="X139" s="1786"/>
      <c r="Y139" s="1170"/>
      <c r="Z139" s="1786"/>
      <c r="AA139" s="1786"/>
      <c r="AB139" s="1786"/>
      <c r="AC139" s="1786"/>
      <c r="AD139" s="1786"/>
      <c r="AE139" s="2258"/>
      <c r="AF139" s="1192"/>
      <c r="AG139" s="1192"/>
      <c r="AH139" s="1192"/>
      <c r="AI139" s="1192"/>
      <c r="AJ139" s="2267">
        <v>11</v>
      </c>
    </row>
    <row s="35197" customFormat="1" customHeight="1" ht="11.549999999999999">
      <c r="A140" s="1613"/>
      <c r="B140" s="2262"/>
      <c r="C140" s="2262"/>
      <c r="D140" s="977"/>
      <c r="J140" s="4642"/>
      <c r="K140" s="4642"/>
      <c r="L140" s="4642"/>
      <c r="M140" s="4642"/>
      <c r="O140" s="1786"/>
      <c r="P140" s="2262"/>
      <c r="Q140" s="2262"/>
      <c r="R140" s="1786"/>
      <c r="S140" s="1786"/>
      <c r="T140" s="1786"/>
      <c r="U140" s="1786"/>
      <c r="V140" s="2262"/>
      <c r="W140" s="1786"/>
      <c r="X140" s="1786"/>
      <c r="Y140" s="1170"/>
      <c r="Z140" s="1786"/>
      <c r="AA140" s="1786"/>
      <c r="AB140" s="1786"/>
      <c r="AC140" s="1786"/>
      <c r="AD140" s="1786"/>
      <c r="AE140" s="2258"/>
      <c r="AF140" s="1192"/>
      <c r="AG140" s="1192"/>
      <c r="AH140" s="1192"/>
      <c r="AI140" s="1192"/>
      <c r="AJ140" s="2267">
        <v>11</v>
      </c>
    </row>
    <row s="35197" customFormat="1" customHeight="1" ht="11.549999999999999">
      <c r="A141" s="1613"/>
      <c r="B141" s="2262"/>
      <c r="C141" s="2262"/>
      <c r="D141" s="977"/>
      <c r="J141" s="4642"/>
      <c r="K141" s="4642"/>
      <c r="L141" s="4642"/>
      <c r="M141" s="4642"/>
      <c r="O141" s="1786"/>
      <c r="P141" s="2262"/>
      <c r="Q141" s="2262"/>
      <c r="R141" s="1786"/>
      <c r="S141" s="1786"/>
      <c r="T141" s="1786"/>
      <c r="U141" s="1786"/>
      <c r="V141" s="2262"/>
      <c r="W141" s="1786"/>
      <c r="X141" s="1786"/>
      <c r="Y141" s="1170"/>
      <c r="Z141" s="1786"/>
      <c r="AA141" s="1786"/>
      <c r="AB141" s="1786"/>
      <c r="AC141" s="1786"/>
      <c r="AD141" s="1786"/>
      <c r="AE141" s="2258"/>
      <c r="AF141" s="1192"/>
      <c r="AG141" s="1192"/>
      <c r="AH141" s="1192"/>
      <c r="AI141" s="1192"/>
      <c r="AJ141" s="2267">
        <v>11</v>
      </c>
    </row>
    <row s="35197" customFormat="1" customHeight="1" ht="11.549999999999999">
      <c r="A142" s="1613"/>
      <c r="B142" s="2262"/>
      <c r="C142" s="2262"/>
      <c r="D142" s="977"/>
      <c r="J142" s="4642"/>
      <c r="K142" s="4642"/>
      <c r="L142" s="4642"/>
      <c r="M142" s="4642"/>
      <c r="O142" s="1786"/>
      <c r="P142" s="2262"/>
      <c r="Q142" s="2262"/>
      <c r="R142" s="1786"/>
      <c r="S142" s="1786"/>
      <c r="T142" s="1786"/>
      <c r="U142" s="1786"/>
      <c r="V142" s="2262"/>
      <c r="W142" s="1786"/>
      <c r="X142" s="1786"/>
      <c r="Y142" s="1170"/>
      <c r="Z142" s="1786"/>
      <c r="AA142" s="1786"/>
      <c r="AB142" s="1786"/>
      <c r="AC142" s="1786"/>
      <c r="AD142" s="1786"/>
      <c r="AE142" s="2258"/>
      <c r="AF142" s="1192"/>
      <c r="AG142" s="1192"/>
      <c r="AH142" s="1192"/>
      <c r="AI142" s="1192"/>
      <c r="AJ142" s="2267">
        <v>11</v>
      </c>
    </row>
    <row s="35197" customFormat="1" customHeight="1" ht="11.549999999999999">
      <c r="A143" s="1613"/>
      <c r="B143" s="2262"/>
      <c r="C143" s="2262"/>
      <c r="D143" s="977"/>
      <c r="J143" s="4642"/>
      <c r="K143" s="4642"/>
      <c r="L143" s="4642"/>
      <c r="M143" s="4642"/>
      <c r="O143" s="1786"/>
      <c r="P143" s="2262"/>
      <c r="Q143" s="2262"/>
      <c r="R143" s="1786"/>
      <c r="S143" s="1786"/>
      <c r="T143" s="1786"/>
      <c r="U143" s="1786"/>
      <c r="V143" s="2262"/>
      <c r="W143" s="1786"/>
      <c r="X143" s="1786"/>
      <c r="Y143" s="1170"/>
      <c r="Z143" s="1786"/>
      <c r="AA143" s="1786"/>
      <c r="AB143" s="1786"/>
      <c r="AC143" s="1786"/>
      <c r="AD143" s="1786"/>
      <c r="AE143" s="2258"/>
      <c r="AF143" s="1192"/>
      <c r="AG143" s="1192"/>
      <c r="AH143" s="1192"/>
      <c r="AI143" s="1192"/>
      <c r="AJ143" s="2267">
        <v>11</v>
      </c>
    </row>
    <row s="35197" customFormat="1" customHeight="1" ht="11.549999999999999">
      <c r="A144" s="1613"/>
      <c r="B144" s="2262"/>
      <c r="C144" s="2262"/>
      <c r="D144" s="977"/>
      <c r="J144" s="4642"/>
      <c r="K144" s="4642"/>
      <c r="L144" s="4642"/>
      <c r="M144" s="4642"/>
      <c r="O144" s="1786"/>
      <c r="P144" s="2262"/>
      <c r="Q144" s="2262"/>
      <c r="R144" s="1786"/>
      <c r="S144" s="1786"/>
      <c r="T144" s="1786"/>
      <c r="U144" s="1786"/>
      <c r="V144" s="2262"/>
      <c r="W144" s="1786"/>
      <c r="X144" s="1786"/>
      <c r="Y144" s="1170"/>
      <c r="Z144" s="1786"/>
      <c r="AA144" s="1786"/>
      <c r="AB144" s="1786"/>
      <c r="AC144" s="1786"/>
      <c r="AD144" s="1786"/>
      <c r="AE144" s="2258"/>
      <c r="AF144" s="1192"/>
      <c r="AG144" s="1192"/>
      <c r="AH144" s="1192"/>
      <c r="AI144" s="1192"/>
      <c r="AJ144" s="2267">
        <v>11</v>
      </c>
    </row>
    <row s="35197" customFormat="1" customHeight="1" ht="11.549999999999999">
      <c r="A145" s="1613"/>
      <c r="B145" s="2262"/>
      <c r="C145" s="2262"/>
      <c r="D145" s="977"/>
      <c r="J145" s="4642"/>
      <c r="K145" s="4642"/>
      <c r="L145" s="4642"/>
      <c r="M145" s="4642"/>
      <c r="O145" s="1786"/>
      <c r="P145" s="2262"/>
      <c r="Q145" s="2262"/>
      <c r="R145" s="1786"/>
      <c r="S145" s="1786"/>
      <c r="T145" s="1786"/>
      <c r="U145" s="1786"/>
      <c r="V145" s="2262"/>
      <c r="W145" s="1786"/>
      <c r="X145" s="1786"/>
      <c r="Y145" s="1170"/>
      <c r="Z145" s="1786"/>
      <c r="AA145" s="1786"/>
      <c r="AB145" s="1786"/>
      <c r="AC145" s="1786"/>
      <c r="AD145" s="1786"/>
      <c r="AE145" s="2258"/>
      <c r="AF145" s="1192"/>
      <c r="AG145" s="1192"/>
      <c r="AH145" s="1192"/>
      <c r="AI145" s="1192"/>
      <c r="AJ145" s="2267">
        <v>11</v>
      </c>
    </row>
    <row s="35197" customFormat="1" customHeight="1" ht="11.549999999999999">
      <c r="A146" s="1613"/>
      <c r="B146" s="2262"/>
      <c r="C146" s="2262"/>
      <c r="D146" s="977"/>
      <c r="J146" s="4642"/>
      <c r="K146" s="4642"/>
      <c r="L146" s="4642"/>
      <c r="M146" s="4642"/>
      <c r="O146" s="1786"/>
      <c r="P146" s="2262"/>
      <c r="Q146" s="2262"/>
      <c r="R146" s="1786"/>
      <c r="S146" s="1786"/>
      <c r="T146" s="1786"/>
      <c r="U146" s="1786"/>
      <c r="V146" s="2262"/>
      <c r="W146" s="1786"/>
      <c r="X146" s="1786"/>
      <c r="Y146" s="1170"/>
      <c r="Z146" s="1786"/>
      <c r="AA146" s="1786"/>
      <c r="AB146" s="1786"/>
      <c r="AC146" s="1786"/>
      <c r="AD146" s="1786"/>
      <c r="AE146" s="2258"/>
      <c r="AF146" s="1192"/>
      <c r="AG146" s="1192"/>
      <c r="AH146" s="1192"/>
      <c r="AI146" s="1192"/>
      <c r="AJ146" s="2267">
        <v>11</v>
      </c>
    </row>
    <row s="35197" customFormat="1" customHeight="1" ht="11.549999999999999">
      <c r="A147" s="1613"/>
      <c r="B147" s="2262"/>
      <c r="C147" s="2262"/>
      <c r="D147" s="977"/>
      <c r="J147" s="4642"/>
      <c r="K147" s="4642"/>
      <c r="L147" s="4642"/>
      <c r="M147" s="4642"/>
      <c r="O147" s="1786"/>
      <c r="P147" s="2262"/>
      <c r="Q147" s="2262"/>
      <c r="R147" s="1786"/>
      <c r="S147" s="1786"/>
      <c r="T147" s="1786"/>
      <c r="U147" s="1786"/>
      <c r="V147" s="2262"/>
      <c r="W147" s="1786"/>
      <c r="X147" s="1786"/>
      <c r="Y147" s="1170"/>
      <c r="Z147" s="1786"/>
      <c r="AA147" s="1786"/>
      <c r="AB147" s="1786"/>
      <c r="AC147" s="1786"/>
      <c r="AD147" s="1786"/>
      <c r="AE147" s="2258"/>
      <c r="AF147" s="1192"/>
      <c r="AG147" s="1192"/>
      <c r="AH147" s="1192"/>
      <c r="AI147" s="1192"/>
      <c r="AJ147" s="2267">
        <v>11</v>
      </c>
    </row>
    <row s="35197" customFormat="1" customHeight="1" ht="11.549999999999999">
      <c r="A148" s="1613"/>
      <c r="B148" s="2262"/>
      <c r="C148" s="2262"/>
      <c r="D148" s="977"/>
      <c r="J148" s="4642"/>
      <c r="K148" s="4642"/>
      <c r="L148" s="4642"/>
      <c r="M148" s="4642"/>
      <c r="O148" s="1786"/>
      <c r="P148" s="2262"/>
      <c r="Q148" s="2262"/>
      <c r="R148" s="1786"/>
      <c r="S148" s="1786"/>
      <c r="T148" s="1786"/>
      <c r="U148" s="1786"/>
      <c r="V148" s="2262"/>
      <c r="W148" s="1786"/>
      <c r="X148" s="1786"/>
      <c r="Y148" s="1170"/>
      <c r="Z148" s="1786"/>
      <c r="AA148" s="1786"/>
      <c r="AB148" s="1786"/>
      <c r="AC148" s="1786"/>
      <c r="AD148" s="1786"/>
      <c r="AE148" s="2258"/>
      <c r="AF148" s="1192"/>
      <c r="AG148" s="1192"/>
      <c r="AH148" s="1192"/>
      <c r="AI148" s="1192"/>
      <c r="AJ148" s="2267">
        <v>11</v>
      </c>
    </row>
    <row s="35197" customFormat="1" customHeight="1" ht="11.549999999999999">
      <c r="A149" s="1613"/>
      <c r="B149" s="2262"/>
      <c r="C149" s="2262"/>
      <c r="D149" s="977"/>
      <c r="J149" s="4642"/>
      <c r="K149" s="4642"/>
      <c r="L149" s="4642"/>
      <c r="M149" s="4642"/>
      <c r="O149" s="1786"/>
      <c r="P149" s="2262"/>
      <c r="Q149" s="2262"/>
      <c r="R149" s="1786"/>
      <c r="S149" s="1786"/>
      <c r="T149" s="1786"/>
      <c r="U149" s="1786"/>
      <c r="V149" s="2262"/>
      <c r="W149" s="1786"/>
      <c r="X149" s="1786"/>
      <c r="Y149" s="1170"/>
      <c r="Z149" s="1786"/>
      <c r="AA149" s="1786"/>
      <c r="AB149" s="1786"/>
      <c r="AC149" s="1786"/>
      <c r="AD149" s="1786"/>
      <c r="AE149" s="2258"/>
      <c r="AF149" s="1192"/>
      <c r="AG149" s="1192"/>
      <c r="AH149" s="1192"/>
      <c r="AI149" s="1192"/>
      <c r="AJ149" s="2267">
        <v>11</v>
      </c>
    </row>
    <row s="35197" customFormat="1" customHeight="1" ht="11.549999999999999">
      <c r="A150" s="1613"/>
      <c r="B150" s="2262"/>
      <c r="C150" s="2262"/>
      <c r="D150" s="977"/>
      <c r="J150" s="4642"/>
      <c r="K150" s="4642"/>
      <c r="L150" s="4642"/>
      <c r="M150" s="4642"/>
      <c r="O150" s="1786"/>
      <c r="P150" s="2262"/>
      <c r="Q150" s="2262"/>
      <c r="R150" s="1786"/>
      <c r="S150" s="1786"/>
      <c r="T150" s="1786"/>
      <c r="U150" s="1786"/>
      <c r="V150" s="2262"/>
      <c r="W150" s="1786"/>
      <c r="X150" s="1786"/>
      <c r="Y150" s="1170"/>
      <c r="Z150" s="1786"/>
      <c r="AA150" s="1786"/>
      <c r="AB150" s="1786"/>
      <c r="AC150" s="1786"/>
      <c r="AD150" s="1786"/>
      <c r="AE150" s="2258"/>
      <c r="AF150" s="1192"/>
      <c r="AG150" s="1192"/>
      <c r="AH150" s="1192"/>
      <c r="AI150" s="1192"/>
      <c r="AJ150" s="2267">
        <v>11</v>
      </c>
    </row>
    <row s="35197" customFormat="1" customHeight="1" ht="11.549999999999999">
      <c r="A151" s="1613"/>
      <c r="B151" s="2262"/>
      <c r="C151" s="2262"/>
      <c r="D151" s="977"/>
      <c r="J151" s="4642"/>
      <c r="K151" s="4642"/>
      <c r="L151" s="4642"/>
      <c r="M151" s="4642"/>
      <c r="O151" s="1786"/>
      <c r="P151" s="2262"/>
      <c r="Q151" s="2262"/>
      <c r="R151" s="1786"/>
      <c r="S151" s="1786"/>
      <c r="T151" s="1786"/>
      <c r="U151" s="1786"/>
      <c r="V151" s="2262"/>
      <c r="W151" s="1786"/>
      <c r="X151" s="1786"/>
      <c r="Y151" s="1170"/>
      <c r="Z151" s="1786"/>
      <c r="AA151" s="1786"/>
      <c r="AB151" s="1786"/>
      <c r="AC151" s="1786"/>
      <c r="AD151" s="1786"/>
      <c r="AE151" s="2258"/>
      <c r="AF151" s="1192"/>
      <c r="AG151" s="1192"/>
      <c r="AH151" s="1192"/>
      <c r="AI151" s="1192"/>
      <c r="AJ151" s="2267">
        <v>11</v>
      </c>
    </row>
    <row s="35197" customFormat="1" customHeight="1" ht="11.549999999999999">
      <c r="A152" s="1613"/>
      <c r="B152" s="2262"/>
      <c r="C152" s="2262"/>
      <c r="D152" s="977"/>
      <c r="J152" s="4642"/>
      <c r="K152" s="4642"/>
      <c r="L152" s="4642"/>
      <c r="M152" s="4642"/>
      <c r="O152" s="1786"/>
      <c r="P152" s="2262"/>
      <c r="Q152" s="2262"/>
      <c r="R152" s="1786"/>
      <c r="S152" s="1786"/>
      <c r="T152" s="1786"/>
      <c r="U152" s="1786"/>
      <c r="V152" s="2262"/>
      <c r="W152" s="1786"/>
      <c r="X152" s="1786"/>
      <c r="Y152" s="1170"/>
      <c r="Z152" s="1786"/>
      <c r="AA152" s="1786"/>
      <c r="AB152" s="1786"/>
      <c r="AC152" s="1786"/>
      <c r="AD152" s="1786"/>
      <c r="AE152" s="2258"/>
      <c r="AF152" s="1192"/>
      <c r="AG152" s="1192"/>
      <c r="AH152" s="1192"/>
      <c r="AI152" s="1192"/>
      <c r="AJ152" s="2267">
        <v>11</v>
      </c>
    </row>
    <row s="35197" customFormat="1" customHeight="1" ht="11.549999999999999">
      <c r="A153" s="1613"/>
      <c r="B153" s="2262"/>
      <c r="C153" s="2262"/>
      <c r="D153" s="977"/>
      <c r="J153" s="4642"/>
      <c r="K153" s="4642"/>
      <c r="L153" s="4642"/>
      <c r="M153" s="4642"/>
      <c r="O153" s="1786"/>
      <c r="P153" s="2262"/>
      <c r="Q153" s="2262"/>
      <c r="R153" s="1786"/>
      <c r="S153" s="1786"/>
      <c r="T153" s="1786"/>
      <c r="U153" s="1786"/>
      <c r="V153" s="2262"/>
      <c r="W153" s="1786"/>
      <c r="X153" s="1786"/>
      <c r="Y153" s="1170"/>
      <c r="Z153" s="1786"/>
      <c r="AA153" s="1786"/>
      <c r="AB153" s="1786"/>
      <c r="AC153" s="1786"/>
      <c r="AD153" s="1786"/>
      <c r="AE153" s="2258"/>
      <c r="AF153" s="1192"/>
      <c r="AG153" s="1192"/>
      <c r="AH153" s="1192"/>
      <c r="AI153" s="1192"/>
      <c r="AJ153" s="2267">
        <v>11</v>
      </c>
    </row>
    <row s="35197" customFormat="1" customHeight="1" ht="11.549999999999999">
      <c r="A154" s="1613"/>
      <c r="B154" s="2262"/>
      <c r="C154" s="2262"/>
      <c r="D154" s="977"/>
      <c r="J154" s="4642"/>
      <c r="K154" s="4642"/>
      <c r="L154" s="4642"/>
      <c r="M154" s="4642"/>
      <c r="O154" s="1786"/>
      <c r="P154" s="2262"/>
      <c r="Q154" s="2262"/>
      <c r="R154" s="1786"/>
      <c r="S154" s="1786"/>
      <c r="T154" s="1786"/>
      <c r="U154" s="1786"/>
      <c r="V154" s="2262"/>
      <c r="W154" s="1786"/>
      <c r="X154" s="1786"/>
      <c r="Y154" s="1170"/>
      <c r="Z154" s="1786"/>
      <c r="AA154" s="1786"/>
      <c r="AB154" s="1786"/>
      <c r="AC154" s="1786"/>
      <c r="AD154" s="1786"/>
      <c r="AE154" s="2258"/>
      <c r="AF154" s="1192"/>
      <c r="AG154" s="1192"/>
      <c r="AH154" s="1192"/>
      <c r="AI154" s="1192"/>
      <c r="AJ154" s="2267">
        <v>11</v>
      </c>
    </row>
    <row s="35197" customFormat="1" customHeight="1" ht="11.549999999999999">
      <c r="A155" s="1613"/>
      <c r="B155" s="2262"/>
      <c r="C155" s="2262"/>
      <c r="D155" s="977"/>
      <c r="J155" s="4642"/>
      <c r="K155" s="4642"/>
      <c r="L155" s="4642"/>
      <c r="M155" s="4642"/>
      <c r="O155" s="1786"/>
      <c r="P155" s="2262"/>
      <c r="Q155" s="2262"/>
      <c r="R155" s="1786"/>
      <c r="S155" s="1786"/>
      <c r="T155" s="1786"/>
      <c r="U155" s="1786"/>
      <c r="V155" s="2262"/>
      <c r="W155" s="1786"/>
      <c r="X155" s="1786"/>
      <c r="Y155" s="1170"/>
      <c r="Z155" s="1786"/>
      <c r="AA155" s="1786"/>
      <c r="AB155" s="1786"/>
      <c r="AC155" s="1786"/>
      <c r="AD155" s="1786"/>
      <c r="AE155" s="2258"/>
      <c r="AF155" s="1192"/>
      <c r="AG155" s="1192"/>
      <c r="AH155" s="1192"/>
      <c r="AI155" s="1192"/>
      <c r="AJ155" s="2267">
        <v>11</v>
      </c>
    </row>
    <row s="35197" customFormat="1" customHeight="1" ht="11.549999999999999">
      <c r="A156" s="1613"/>
      <c r="B156" s="2262"/>
      <c r="C156" s="2262"/>
      <c r="D156" s="977"/>
      <c r="J156" s="4642"/>
      <c r="K156" s="4642"/>
      <c r="L156" s="4642"/>
      <c r="M156" s="4642"/>
      <c r="O156" s="1786"/>
      <c r="P156" s="2262"/>
      <c r="Q156" s="2262"/>
      <c r="R156" s="1786"/>
      <c r="S156" s="1786"/>
      <c r="T156" s="1786"/>
      <c r="U156" s="1786"/>
      <c r="V156" s="2262"/>
      <c r="W156" s="1786"/>
      <c r="X156" s="1786"/>
      <c r="Y156" s="1170"/>
      <c r="Z156" s="1786"/>
      <c r="AA156" s="1786"/>
      <c r="AB156" s="1786"/>
      <c r="AC156" s="1786"/>
      <c r="AD156" s="1786"/>
      <c r="AE156" s="2258"/>
      <c r="AF156" s="1192"/>
      <c r="AG156" s="1192"/>
      <c r="AH156" s="1192"/>
      <c r="AI156" s="1192"/>
      <c r="AJ156" s="2267">
        <v>11</v>
      </c>
    </row>
    <row s="35197" customFormat="1" customHeight="1" ht="11.549999999999999">
      <c r="A157" s="1613"/>
      <c r="B157" s="2262"/>
      <c r="C157" s="2262"/>
      <c r="D157" s="977"/>
      <c r="J157" s="4642"/>
      <c r="K157" s="4642"/>
      <c r="L157" s="4642"/>
      <c r="M157" s="4642"/>
      <c r="O157" s="1786"/>
      <c r="P157" s="2262"/>
      <c r="Q157" s="2262"/>
      <c r="R157" s="1786"/>
      <c r="S157" s="1786"/>
      <c r="T157" s="1786"/>
      <c r="U157" s="1786"/>
      <c r="V157" s="2262"/>
      <c r="W157" s="1786"/>
      <c r="X157" s="1786"/>
      <c r="Y157" s="1170"/>
      <c r="Z157" s="1786"/>
      <c r="AA157" s="1786"/>
      <c r="AB157" s="1786"/>
      <c r="AC157" s="1786"/>
      <c r="AD157" s="1786"/>
      <c r="AE157" s="2258"/>
      <c r="AF157" s="1192"/>
      <c r="AG157" s="1192"/>
      <c r="AH157" s="1192"/>
      <c r="AI157" s="1192"/>
      <c r="AJ157" s="2267">
        <v>11</v>
      </c>
    </row>
    <row s="35197" customFormat="1" customHeight="1" ht="11.549999999999999">
      <c r="A158" s="1613"/>
      <c r="B158" s="2262"/>
      <c r="C158" s="2262"/>
      <c r="D158" s="977"/>
      <c r="J158" s="4642"/>
      <c r="K158" s="4642"/>
      <c r="L158" s="4642"/>
      <c r="M158" s="4642"/>
      <c r="O158" s="1786"/>
      <c r="P158" s="2262"/>
      <c r="Q158" s="2262"/>
      <c r="R158" s="1786"/>
      <c r="S158" s="1786"/>
      <c r="T158" s="1786"/>
      <c r="U158" s="1786"/>
      <c r="V158" s="2262"/>
      <c r="W158" s="1786"/>
      <c r="X158" s="1786"/>
      <c r="Y158" s="1170"/>
      <c r="Z158" s="1786"/>
      <c r="AA158" s="1786"/>
      <c r="AB158" s="1786"/>
      <c r="AC158" s="1786"/>
      <c r="AD158" s="1786"/>
      <c r="AE158" s="2258"/>
      <c r="AF158" s="1192"/>
      <c r="AG158" s="1192"/>
      <c r="AH158" s="1192"/>
      <c r="AI158" s="1192"/>
      <c r="AJ158" s="2267">
        <v>11</v>
      </c>
    </row>
    <row s="35197" customFormat="1" customHeight="1" ht="11.549999999999999">
      <c r="A159" s="1613"/>
      <c r="B159" s="2262"/>
      <c r="C159" s="2262"/>
      <c r="D159" s="977"/>
      <c r="J159" s="4642"/>
      <c r="K159" s="4642"/>
      <c r="L159" s="4642"/>
      <c r="M159" s="4642"/>
      <c r="O159" s="1786"/>
      <c r="P159" s="2262"/>
      <c r="Q159" s="2262"/>
      <c r="R159" s="1786"/>
      <c r="S159" s="1786"/>
      <c r="T159" s="1786"/>
      <c r="U159" s="1786"/>
      <c r="V159" s="2262"/>
      <c r="W159" s="1786"/>
      <c r="X159" s="1786"/>
      <c r="Y159" s="1170"/>
      <c r="Z159" s="1786"/>
      <c r="AA159" s="1786"/>
      <c r="AB159" s="1786"/>
      <c r="AC159" s="1786"/>
      <c r="AD159" s="1786"/>
      <c r="AE159" s="2258"/>
      <c r="AF159" s="1192"/>
      <c r="AG159" s="1192"/>
      <c r="AH159" s="1192"/>
      <c r="AI159" s="1192"/>
      <c r="AJ159" s="2267">
        <v>11</v>
      </c>
    </row>
    <row s="35197" customFormat="1" customHeight="1" ht="11.549999999999999">
      <c r="A160" s="1613"/>
      <c r="B160" s="2262"/>
      <c r="C160" s="2262"/>
      <c r="D160" s="977"/>
      <c r="J160" s="4642"/>
      <c r="K160" s="4642"/>
      <c r="L160" s="4642"/>
      <c r="M160" s="4642"/>
      <c r="O160" s="1786"/>
      <c r="P160" s="2262"/>
      <c r="Q160" s="2262"/>
      <c r="R160" s="1786"/>
      <c r="S160" s="1786"/>
      <c r="T160" s="1786"/>
      <c r="U160" s="1786"/>
      <c r="V160" s="2262"/>
      <c r="W160" s="1786"/>
      <c r="X160" s="1786"/>
      <c r="Y160" s="1170"/>
      <c r="Z160" s="1786"/>
      <c r="AA160" s="1786"/>
      <c r="AB160" s="1786"/>
      <c r="AC160" s="1786"/>
      <c r="AD160" s="1786"/>
      <c r="AE160" s="2258"/>
      <c r="AF160" s="1192"/>
      <c r="AG160" s="1192"/>
      <c r="AH160" s="1192"/>
      <c r="AI160" s="1192"/>
      <c r="AJ160" s="2267">
        <v>11</v>
      </c>
    </row>
    <row s="35197" customFormat="1" customHeight="1" ht="11.549999999999999">
      <c r="A161" s="1613"/>
      <c r="B161" s="2262"/>
      <c r="C161" s="2262"/>
      <c r="D161" s="977"/>
      <c r="J161" s="4642"/>
      <c r="K161" s="4642"/>
      <c r="L161" s="4642"/>
      <c r="M161" s="4642"/>
      <c r="O161" s="1786"/>
      <c r="P161" s="2262"/>
      <c r="Q161" s="2262"/>
      <c r="R161" s="1786"/>
      <c r="S161" s="1786"/>
      <c r="T161" s="1786"/>
      <c r="U161" s="1786"/>
      <c r="V161" s="2262"/>
      <c r="W161" s="1786"/>
      <c r="X161" s="1786"/>
      <c r="Y161" s="1170"/>
      <c r="Z161" s="1786"/>
      <c r="AA161" s="1786"/>
      <c r="AB161" s="1786"/>
      <c r="AC161" s="1786"/>
      <c r="AD161" s="1786"/>
      <c r="AE161" s="2258"/>
      <c r="AF161" s="1192"/>
      <c r="AG161" s="1192"/>
      <c r="AH161" s="1192"/>
      <c r="AI161" s="1192"/>
      <c r="AJ161" s="2267">
        <v>11</v>
      </c>
    </row>
    <row s="35197" customFormat="1" customHeight="1" ht="11.549999999999999">
      <c r="A162" s="1613"/>
      <c r="B162" s="2262"/>
      <c r="C162" s="2262"/>
      <c r="D162" s="977"/>
      <c r="J162" s="4642"/>
      <c r="K162" s="4642"/>
      <c r="L162" s="4642"/>
      <c r="M162" s="4642"/>
      <c r="O162" s="1786"/>
      <c r="P162" s="2262"/>
      <c r="Q162" s="2262"/>
      <c r="R162" s="1786"/>
      <c r="S162" s="1786"/>
      <c r="T162" s="1786"/>
      <c r="U162" s="1786"/>
      <c r="V162" s="2262"/>
      <c r="W162" s="1786"/>
      <c r="X162" s="1786"/>
      <c r="Y162" s="1170"/>
      <c r="Z162" s="1786"/>
      <c r="AA162" s="1786"/>
      <c r="AB162" s="1786"/>
      <c r="AC162" s="1786"/>
      <c r="AD162" s="1786"/>
      <c r="AE162" s="2258"/>
      <c r="AF162" s="1192"/>
      <c r="AG162" s="1192"/>
      <c r="AH162" s="1192"/>
      <c r="AI162" s="1192"/>
      <c r="AJ162" s="2267">
        <v>11</v>
      </c>
    </row>
    <row s="35197" customFormat="1" customHeight="1" ht="11.549999999999999">
      <c r="A163" s="1613"/>
      <c r="B163" s="2262"/>
      <c r="C163" s="2262"/>
      <c r="D163" s="977"/>
      <c r="J163" s="4642"/>
      <c r="K163" s="4642"/>
      <c r="L163" s="4642"/>
      <c r="M163" s="4642"/>
      <c r="O163" s="1786"/>
      <c r="P163" s="2262"/>
      <c r="Q163" s="2262"/>
      <c r="R163" s="1786"/>
      <c r="S163" s="1786"/>
      <c r="T163" s="1786"/>
      <c r="U163" s="1786"/>
      <c r="V163" s="2262"/>
      <c r="W163" s="1786"/>
      <c r="X163" s="1786"/>
      <c r="Y163" s="1170"/>
      <c r="Z163" s="1786"/>
      <c r="AA163" s="1786"/>
      <c r="AB163" s="1786"/>
      <c r="AC163" s="1786"/>
      <c r="AD163" s="1786"/>
      <c r="AE163" s="2258"/>
      <c r="AF163" s="1192"/>
      <c r="AG163" s="1192"/>
      <c r="AH163" s="1192"/>
      <c r="AI163" s="1192"/>
      <c r="AJ163" s="2267">
        <v>11</v>
      </c>
    </row>
    <row s="35197" customFormat="1" customHeight="1" ht="11.549999999999999">
      <c r="A164" s="1613"/>
      <c r="B164" s="2262"/>
      <c r="C164" s="2262"/>
      <c r="D164" s="977"/>
      <c r="J164" s="4642"/>
      <c r="K164" s="4642"/>
      <c r="L164" s="4642"/>
      <c r="M164" s="4642"/>
      <c r="O164" s="1786"/>
      <c r="P164" s="2262"/>
      <c r="Q164" s="2262"/>
      <c r="R164" s="1786"/>
      <c r="S164" s="1786"/>
      <c r="T164" s="1786"/>
      <c r="U164" s="1786"/>
      <c r="V164" s="2262"/>
      <c r="W164" s="1786"/>
      <c r="X164" s="1786"/>
      <c r="Y164" s="1170"/>
      <c r="Z164" s="1786"/>
      <c r="AA164" s="1786"/>
      <c r="AB164" s="1786"/>
      <c r="AC164" s="1786"/>
      <c r="AD164" s="1786"/>
      <c r="AE164" s="2258"/>
      <c r="AF164" s="1192"/>
      <c r="AG164" s="1192"/>
      <c r="AH164" s="1192"/>
      <c r="AI164" s="1192"/>
      <c r="AJ164" s="2267">
        <v>11</v>
      </c>
    </row>
    <row s="35197" customFormat="1" customHeight="1" ht="11.549999999999999">
      <c r="A165" s="1613"/>
      <c r="B165" s="2262"/>
      <c r="C165" s="2262"/>
      <c r="D165" s="977"/>
      <c r="J165" s="4642"/>
      <c r="K165" s="4642"/>
      <c r="L165" s="4642"/>
      <c r="M165" s="4642"/>
      <c r="O165" s="1786"/>
      <c r="P165" s="2262"/>
      <c r="Q165" s="2262"/>
      <c r="R165" s="1786"/>
      <c r="S165" s="1786"/>
      <c r="T165" s="1786"/>
      <c r="U165" s="1786"/>
      <c r="V165" s="2262"/>
      <c r="W165" s="1786"/>
      <c r="X165" s="1786"/>
      <c r="Y165" s="1170"/>
      <c r="Z165" s="1786"/>
      <c r="AA165" s="1786"/>
      <c r="AB165" s="1786"/>
      <c r="AC165" s="1786"/>
      <c r="AD165" s="1786"/>
      <c r="AE165" s="2258"/>
      <c r="AF165" s="1192"/>
      <c r="AG165" s="1192"/>
      <c r="AH165" s="1192"/>
      <c r="AI165" s="1192"/>
      <c r="AJ165" s="2267">
        <v>11</v>
      </c>
    </row>
    <row s="35197" customFormat="1" customHeight="1" ht="11.549999999999999">
      <c r="A166" s="1613"/>
      <c r="B166" s="2262"/>
      <c r="C166" s="2262"/>
      <c r="D166" s="977"/>
      <c r="J166" s="4642"/>
      <c r="K166" s="4642"/>
      <c r="L166" s="4642"/>
      <c r="M166" s="4642"/>
      <c r="O166" s="1786"/>
      <c r="P166" s="2262"/>
      <c r="Q166" s="2262"/>
      <c r="R166" s="1786"/>
      <c r="S166" s="1786"/>
      <c r="T166" s="1786"/>
      <c r="U166" s="1786"/>
      <c r="V166" s="2262"/>
      <c r="W166" s="1786"/>
      <c r="X166" s="1786"/>
      <c r="Y166" s="1170"/>
      <c r="Z166" s="1786"/>
      <c r="AA166" s="1786"/>
      <c r="AB166" s="1786"/>
      <c r="AC166" s="1786"/>
      <c r="AD166" s="1786"/>
      <c r="AE166" s="2258"/>
      <c r="AF166" s="1192"/>
      <c r="AG166" s="1192"/>
      <c r="AH166" s="1192"/>
      <c r="AI166" s="1192"/>
      <c r="AJ166" s="2267">
        <v>11</v>
      </c>
    </row>
    <row s="35197" customFormat="1" customHeight="1" ht="11.549999999999999">
      <c r="A167" s="1613"/>
      <c r="B167" s="2262"/>
      <c r="C167" s="2262"/>
      <c r="D167" s="977"/>
      <c r="J167" s="4642"/>
      <c r="K167" s="4642"/>
      <c r="L167" s="4642"/>
      <c r="M167" s="4642"/>
      <c r="O167" s="1786"/>
      <c r="P167" s="2262"/>
      <c r="Q167" s="2262"/>
      <c r="R167" s="1786"/>
      <c r="S167" s="1786"/>
      <c r="T167" s="1786"/>
      <c r="U167" s="1786"/>
      <c r="V167" s="2262"/>
      <c r="W167" s="1786"/>
      <c r="X167" s="1786"/>
      <c r="Y167" s="1170"/>
      <c r="Z167" s="1786"/>
      <c r="AA167" s="1786"/>
      <c r="AB167" s="1786"/>
      <c r="AC167" s="1786"/>
      <c r="AD167" s="1786"/>
      <c r="AE167" s="2258"/>
      <c r="AF167" s="1192"/>
      <c r="AG167" s="1192"/>
      <c r="AH167" s="1192"/>
      <c r="AI167" s="1192"/>
      <c r="AJ167" s="2267">
        <v>11</v>
      </c>
    </row>
    <row s="35197" customFormat="1" customHeight="1" ht="11.549999999999999">
      <c r="A168" s="1613"/>
      <c r="B168" s="2262"/>
      <c r="C168" s="2262"/>
      <c r="D168" s="977"/>
      <c r="J168" s="4642"/>
      <c r="K168" s="4642"/>
      <c r="L168" s="4642"/>
      <c r="M168" s="4642"/>
      <c r="O168" s="1786"/>
      <c r="P168" s="2262"/>
      <c r="Q168" s="2262"/>
      <c r="R168" s="1786"/>
      <c r="S168" s="1786"/>
      <c r="T168" s="1786"/>
      <c r="U168" s="1786"/>
      <c r="V168" s="2262"/>
      <c r="W168" s="1786"/>
      <c r="X168" s="1786"/>
      <c r="Y168" s="1170"/>
      <c r="Z168" s="1786"/>
      <c r="AA168" s="1786"/>
      <c r="AB168" s="1786"/>
      <c r="AC168" s="1786"/>
      <c r="AD168" s="1786"/>
      <c r="AE168" s="2258"/>
      <c r="AF168" s="1192"/>
      <c r="AG168" s="1192"/>
      <c r="AH168" s="1192"/>
      <c r="AI168" s="1192"/>
      <c r="AJ168" s="2267">
        <v>11</v>
      </c>
    </row>
    <row s="35197" customFormat="1" customHeight="1" ht="11.549999999999999">
      <c r="A169" s="1613"/>
      <c r="B169" s="2262"/>
      <c r="C169" s="2262"/>
      <c r="D169" s="977"/>
      <c r="J169" s="4642"/>
      <c r="K169" s="4642"/>
      <c r="L169" s="4642"/>
      <c r="M169" s="4642"/>
      <c r="O169" s="1786"/>
      <c r="P169" s="2262"/>
      <c r="Q169" s="2262"/>
      <c r="R169" s="1786"/>
      <c r="S169" s="1786"/>
      <c r="T169" s="1786"/>
      <c r="U169" s="1786"/>
      <c r="V169" s="2262"/>
      <c r="W169" s="1786"/>
      <c r="X169" s="1786"/>
      <c r="Y169" s="1170"/>
      <c r="Z169" s="1786"/>
      <c r="AA169" s="1786"/>
      <c r="AB169" s="1786"/>
      <c r="AC169" s="1786"/>
      <c r="AD169" s="1786"/>
      <c r="AE169" s="2258"/>
      <c r="AF169" s="1192"/>
      <c r="AG169" s="1192"/>
      <c r="AH169" s="1192"/>
      <c r="AI169" s="1192"/>
      <c r="AJ169" s="2267">
        <v>11</v>
      </c>
    </row>
    <row s="35197" customFormat="1" customHeight="1" ht="11.549999999999999">
      <c r="A170" s="1613"/>
      <c r="B170" s="2262"/>
      <c r="C170" s="2262"/>
      <c r="D170" s="977"/>
      <c r="J170" s="4642"/>
      <c r="K170" s="4642"/>
      <c r="L170" s="4642"/>
      <c r="M170" s="4642"/>
      <c r="O170" s="1786"/>
      <c r="P170" s="2262"/>
      <c r="Q170" s="2262"/>
      <c r="R170" s="1786"/>
      <c r="S170" s="1786"/>
      <c r="T170" s="1786"/>
      <c r="U170" s="1786"/>
      <c r="V170" s="2262"/>
      <c r="W170" s="1786"/>
      <c r="X170" s="1786"/>
      <c r="Y170" s="1170"/>
      <c r="Z170" s="1786"/>
      <c r="AA170" s="1786"/>
      <c r="AB170" s="1786"/>
      <c r="AC170" s="1786"/>
      <c r="AD170" s="1786"/>
      <c r="AE170" s="2258"/>
      <c r="AF170" s="1192"/>
      <c r="AG170" s="1192"/>
      <c r="AH170" s="1192"/>
      <c r="AI170" s="1192"/>
      <c r="AJ170" s="2267">
        <v>11</v>
      </c>
    </row>
    <row s="35197" customFormat="1" customHeight="1" ht="11.549999999999999">
      <c r="A171" s="1613"/>
      <c r="B171" s="2262"/>
      <c r="C171" s="2262"/>
      <c r="D171" s="977"/>
      <c r="J171" s="4642"/>
      <c r="K171" s="4642"/>
      <c r="L171" s="4642"/>
      <c r="M171" s="4642"/>
      <c r="O171" s="1786"/>
      <c r="P171" s="2262"/>
      <c r="Q171" s="2262"/>
      <c r="R171" s="1786"/>
      <c r="S171" s="1786"/>
      <c r="T171" s="1786"/>
      <c r="U171" s="1786"/>
      <c r="V171" s="2262"/>
      <c r="W171" s="1786"/>
      <c r="X171" s="1786"/>
      <c r="Y171" s="1170"/>
      <c r="Z171" s="1786"/>
      <c r="AA171" s="1786"/>
      <c r="AB171" s="1786"/>
      <c r="AC171" s="1786"/>
      <c r="AD171" s="1786"/>
      <c r="AE171" s="2258"/>
      <c r="AF171" s="1192"/>
      <c r="AG171" s="1192"/>
      <c r="AH171" s="1192"/>
      <c r="AI171" s="1192"/>
      <c r="AJ171" s="2267">
        <v>11</v>
      </c>
    </row>
    <row s="35197" customFormat="1" customHeight="1" ht="11.549999999999999">
      <c r="A172" s="1613"/>
      <c r="B172" s="2262"/>
      <c r="C172" s="2262"/>
      <c r="D172" s="977"/>
      <c r="J172" s="4642"/>
      <c r="K172" s="4642"/>
      <c r="L172" s="4642"/>
      <c r="M172" s="4642"/>
      <c r="O172" s="1786"/>
      <c r="P172" s="2262"/>
      <c r="Q172" s="2262"/>
      <c r="R172" s="1786"/>
      <c r="S172" s="1786"/>
      <c r="T172" s="1786"/>
      <c r="U172" s="1786"/>
      <c r="V172" s="2262"/>
      <c r="W172" s="1786"/>
      <c r="X172" s="1786"/>
      <c r="Y172" s="1170"/>
      <c r="Z172" s="1786"/>
      <c r="AA172" s="1786"/>
      <c r="AB172" s="1786"/>
      <c r="AC172" s="1786"/>
      <c r="AD172" s="1786"/>
      <c r="AE172" s="2258"/>
      <c r="AF172" s="1192"/>
      <c r="AG172" s="1192"/>
      <c r="AH172" s="1192"/>
      <c r="AI172" s="1192"/>
      <c r="AJ172" s="2267">
        <v>11</v>
      </c>
    </row>
    <row s="35197" customFormat="1" customHeight="1" ht="11.549999999999999">
      <c r="A173" s="1613"/>
      <c r="B173" s="2262"/>
      <c r="C173" s="2262"/>
      <c r="D173" s="977"/>
      <c r="J173" s="4642"/>
      <c r="K173" s="4642"/>
      <c r="L173" s="4642"/>
      <c r="M173" s="4642"/>
      <c r="O173" s="1786"/>
      <c r="P173" s="2262"/>
      <c r="Q173" s="2262"/>
      <c r="R173" s="1786"/>
      <c r="S173" s="1786"/>
      <c r="T173" s="1786"/>
      <c r="U173" s="1786"/>
      <c r="V173" s="2262"/>
      <c r="W173" s="1786"/>
      <c r="X173" s="1786"/>
      <c r="Y173" s="1170"/>
      <c r="Z173" s="1786"/>
      <c r="AA173" s="1786"/>
      <c r="AB173" s="1786"/>
      <c r="AC173" s="1786"/>
      <c r="AD173" s="1786"/>
      <c r="AE173" s="2258"/>
      <c r="AF173" s="1192"/>
      <c r="AG173" s="1192"/>
      <c r="AH173" s="1192"/>
      <c r="AI173" s="1192"/>
      <c r="AJ173" s="2267">
        <v>11</v>
      </c>
    </row>
    <row s="35197" customFormat="1" customHeight="1" ht="11.549999999999999">
      <c r="A174" s="1613"/>
      <c r="B174" s="2262"/>
      <c r="C174" s="2262"/>
      <c r="D174" s="977"/>
      <c r="J174" s="4642"/>
      <c r="K174" s="4642"/>
      <c r="L174" s="4642"/>
      <c r="M174" s="4642"/>
      <c r="O174" s="1786"/>
      <c r="P174" s="2262"/>
      <c r="Q174" s="2262"/>
      <c r="R174" s="1786"/>
      <c r="S174" s="1786"/>
      <c r="T174" s="1786"/>
      <c r="U174" s="1786"/>
      <c r="V174" s="2262"/>
      <c r="W174" s="1786"/>
      <c r="X174" s="1786"/>
      <c r="Y174" s="1170"/>
      <c r="Z174" s="1786"/>
      <c r="AA174" s="1786"/>
      <c r="AB174" s="1786"/>
      <c r="AC174" s="1786"/>
      <c r="AD174" s="1786"/>
      <c r="AE174" s="2258"/>
      <c r="AF174" s="1192"/>
      <c r="AG174" s="1192"/>
      <c r="AH174" s="1192"/>
      <c r="AI174" s="1192"/>
      <c r="AJ174" s="2267">
        <v>11</v>
      </c>
    </row>
    <row s="35197" customFormat="1" customHeight="1" ht="11.549999999999999">
      <c r="A175" s="1613"/>
      <c r="B175" s="2262"/>
      <c r="C175" s="2262"/>
      <c r="D175" s="977"/>
      <c r="J175" s="4642"/>
      <c r="K175" s="4642"/>
      <c r="L175" s="4642"/>
      <c r="M175" s="4642"/>
      <c r="O175" s="1786"/>
      <c r="P175" s="2262"/>
      <c r="Q175" s="2262"/>
      <c r="R175" s="1786"/>
      <c r="S175" s="1786"/>
      <c r="T175" s="1786"/>
      <c r="U175" s="1786"/>
      <c r="V175" s="2262"/>
      <c r="W175" s="1786"/>
      <c r="X175" s="1786"/>
      <c r="Y175" s="1170"/>
      <c r="Z175" s="1786"/>
      <c r="AA175" s="1786"/>
      <c r="AB175" s="1786"/>
      <c r="AC175" s="1786"/>
      <c r="AD175" s="1786"/>
      <c r="AE175" s="2258"/>
      <c r="AF175" s="1192"/>
      <c r="AG175" s="1192"/>
      <c r="AH175" s="1192"/>
      <c r="AI175" s="1192"/>
      <c r="AJ175" s="2267">
        <v>11</v>
      </c>
    </row>
    <row s="35197" customFormat="1" customHeight="1" ht="11.549999999999999">
      <c r="A176" s="1613"/>
      <c r="B176" s="2262"/>
      <c r="C176" s="2262"/>
      <c r="D176" s="977"/>
      <c r="J176" s="4642"/>
      <c r="K176" s="4642"/>
      <c r="L176" s="4642"/>
      <c r="M176" s="4642"/>
      <c r="O176" s="1786"/>
      <c r="P176" s="2262"/>
      <c r="Q176" s="2262"/>
      <c r="R176" s="1786"/>
      <c r="S176" s="1786"/>
      <c r="T176" s="1786"/>
      <c r="U176" s="1786"/>
      <c r="V176" s="2262"/>
      <c r="W176" s="1786"/>
      <c r="X176" s="1786"/>
      <c r="Y176" s="1170"/>
      <c r="Z176" s="1786"/>
      <c r="AA176" s="1786"/>
      <c r="AB176" s="1786"/>
      <c r="AC176" s="1786"/>
      <c r="AD176" s="1786"/>
      <c r="AE176" s="2258"/>
      <c r="AF176" s="1192"/>
      <c r="AG176" s="1192"/>
      <c r="AH176" s="1192"/>
      <c r="AI176" s="1192"/>
      <c r="AJ176" s="2267">
        <v>11</v>
      </c>
    </row>
    <row s="35197" customFormat="1" customHeight="1" ht="11.549999999999999">
      <c r="A177" s="1613"/>
      <c r="B177" s="2262"/>
      <c r="C177" s="2262"/>
      <c r="D177" s="977"/>
      <c r="J177" s="4642"/>
      <c r="K177" s="4642"/>
      <c r="L177" s="4642"/>
      <c r="M177" s="4642"/>
      <c r="O177" s="1786"/>
      <c r="P177" s="2262"/>
      <c r="Q177" s="2262"/>
      <c r="R177" s="1786"/>
      <c r="S177" s="1786"/>
      <c r="T177" s="1786"/>
      <c r="U177" s="1786"/>
      <c r="V177" s="2262"/>
      <c r="W177" s="1786"/>
      <c r="X177" s="1786"/>
      <c r="Y177" s="1170"/>
      <c r="Z177" s="1786"/>
      <c r="AA177" s="1786"/>
      <c r="AB177" s="1786"/>
      <c r="AC177" s="1786"/>
      <c r="AD177" s="1786"/>
      <c r="AE177" s="2258"/>
      <c r="AF177" s="1192"/>
      <c r="AG177" s="1192"/>
      <c r="AH177" s="1192"/>
      <c r="AI177" s="1192"/>
      <c r="AJ177" s="2267">
        <v>11</v>
      </c>
    </row>
    <row s="35197" customFormat="1" customHeight="1" ht="11.549999999999999">
      <c r="A178" s="1613"/>
      <c r="B178" s="2262"/>
      <c r="C178" s="2262"/>
      <c r="D178" s="977"/>
      <c r="J178" s="4642"/>
      <c r="K178" s="4642"/>
      <c r="L178" s="4642"/>
      <c r="M178" s="4642"/>
      <c r="O178" s="1786"/>
      <c r="P178" s="2262"/>
      <c r="Q178" s="2262"/>
      <c r="R178" s="1786"/>
      <c r="S178" s="1786"/>
      <c r="T178" s="1786"/>
      <c r="U178" s="1786"/>
      <c r="V178" s="2262"/>
      <c r="W178" s="1786"/>
      <c r="X178" s="1786"/>
      <c r="Y178" s="1170"/>
      <c r="Z178" s="1786"/>
      <c r="AA178" s="1786"/>
      <c r="AB178" s="1786"/>
      <c r="AC178" s="1786"/>
      <c r="AD178" s="1786"/>
      <c r="AE178" s="2258"/>
      <c r="AF178" s="1192"/>
      <c r="AG178" s="1192"/>
      <c r="AH178" s="1192"/>
      <c r="AI178" s="1192"/>
      <c r="AJ178" s="2267">
        <v>11</v>
      </c>
    </row>
    <row s="35197" customFormat="1" customHeight="1" ht="11.549999999999999">
      <c r="A179" s="1613"/>
      <c r="B179" s="2262"/>
      <c r="C179" s="2262"/>
      <c r="D179" s="977"/>
      <c r="J179" s="4642"/>
      <c r="K179" s="4642"/>
      <c r="L179" s="4642"/>
      <c r="M179" s="4642"/>
      <c r="O179" s="1786"/>
      <c r="P179" s="2262"/>
      <c r="Q179" s="2262"/>
      <c r="R179" s="1786"/>
      <c r="S179" s="1786"/>
      <c r="T179" s="1786"/>
      <c r="U179" s="1786"/>
      <c r="V179" s="2262"/>
      <c r="W179" s="1786"/>
      <c r="X179" s="1786"/>
      <c r="Y179" s="1170"/>
      <c r="Z179" s="1786"/>
      <c r="AA179" s="1786"/>
      <c r="AB179" s="1786"/>
      <c r="AC179" s="1786"/>
      <c r="AD179" s="1786"/>
      <c r="AE179" s="2258"/>
      <c r="AF179" s="1192"/>
      <c r="AG179" s="1192"/>
      <c r="AH179" s="1192"/>
      <c r="AI179" s="1192"/>
      <c r="AJ179" s="2267">
        <v>11</v>
      </c>
    </row>
    <row s="35197" customFormat="1" customHeight="1" ht="11.549999999999999">
      <c r="A180" s="1613"/>
      <c r="B180" s="2262"/>
      <c r="C180" s="2262"/>
      <c r="D180" s="977"/>
      <c r="J180" s="4642"/>
      <c r="K180" s="4642"/>
      <c r="L180" s="4642"/>
      <c r="M180" s="4642"/>
      <c r="O180" s="1786"/>
      <c r="P180" s="2262"/>
      <c r="Q180" s="2262"/>
      <c r="R180" s="1786"/>
      <c r="S180" s="1786"/>
      <c r="T180" s="1786"/>
      <c r="U180" s="1786"/>
      <c r="V180" s="2262"/>
      <c r="W180" s="1786"/>
      <c r="X180" s="1786"/>
      <c r="Y180" s="1170"/>
      <c r="Z180" s="1786"/>
      <c r="AA180" s="1786"/>
      <c r="AB180" s="1786"/>
      <c r="AC180" s="1786"/>
      <c r="AD180" s="1786"/>
      <c r="AE180" s="2258"/>
      <c r="AF180" s="1192"/>
      <c r="AG180" s="1192"/>
      <c r="AH180" s="1192"/>
      <c r="AI180" s="1192"/>
      <c r="AJ180" s="2267">
        <v>11</v>
      </c>
    </row>
    <row s="35197" customFormat="1" customHeight="1" ht="11.549999999999999">
      <c r="A181" s="1613"/>
      <c r="B181" s="2262"/>
      <c r="C181" s="2262"/>
      <c r="D181" s="977"/>
      <c r="J181" s="4642"/>
      <c r="K181" s="4642"/>
      <c r="L181" s="4642"/>
      <c r="M181" s="4642"/>
      <c r="O181" s="1786"/>
      <c r="P181" s="2262"/>
      <c r="Q181" s="2262"/>
      <c r="R181" s="1786"/>
      <c r="S181" s="1786"/>
      <c r="T181" s="1786"/>
      <c r="U181" s="1786"/>
      <c r="V181" s="2262"/>
      <c r="W181" s="1786"/>
      <c r="X181" s="1786"/>
      <c r="Y181" s="1170"/>
      <c r="Z181" s="1786"/>
      <c r="AA181" s="1786"/>
      <c r="AB181" s="1786"/>
      <c r="AC181" s="1786"/>
      <c r="AD181" s="1786"/>
      <c r="AE181" s="2258"/>
      <c r="AF181" s="1192"/>
      <c r="AG181" s="1192"/>
      <c r="AH181" s="1192"/>
      <c r="AI181" s="1192"/>
      <c r="AJ181" s="2267">
        <v>11</v>
      </c>
    </row>
    <row s="35197" customFormat="1" customHeight="1" ht="11.549999999999999">
      <c r="A182" s="1613"/>
      <c r="B182" s="2262"/>
      <c r="C182" s="2262"/>
      <c r="D182" s="977"/>
      <c r="J182" s="4642"/>
      <c r="K182" s="4642"/>
      <c r="L182" s="4642"/>
      <c r="M182" s="4642"/>
      <c r="O182" s="1786"/>
      <c r="P182" s="2262"/>
      <c r="Q182" s="2262"/>
      <c r="R182" s="1786"/>
      <c r="S182" s="1786"/>
      <c r="T182" s="1786"/>
      <c r="U182" s="1786"/>
      <c r="V182" s="2262"/>
      <c r="W182" s="1786"/>
      <c r="X182" s="1786"/>
      <c r="Y182" s="1170"/>
      <c r="Z182" s="1786"/>
      <c r="AA182" s="1786"/>
      <c r="AB182" s="1786"/>
      <c r="AC182" s="1786"/>
      <c r="AD182" s="1786"/>
      <c r="AE182" s="2258"/>
      <c r="AF182" s="1192"/>
      <c r="AG182" s="1192"/>
      <c r="AH182" s="1192"/>
      <c r="AI182" s="1192"/>
      <c r="AJ182" s="2267">
        <v>11</v>
      </c>
    </row>
    <row s="35197" customFormat="1" customHeight="1" ht="11.549999999999999">
      <c r="A183" s="1613"/>
      <c r="B183" s="2262"/>
      <c r="C183" s="2262"/>
      <c r="D183" s="977"/>
      <c r="J183" s="4642"/>
      <c r="K183" s="4642"/>
      <c r="L183" s="4642"/>
      <c r="M183" s="4642"/>
      <c r="O183" s="1786"/>
      <c r="P183" s="2262"/>
      <c r="Q183" s="2262"/>
      <c r="R183" s="1786"/>
      <c r="S183" s="1786"/>
      <c r="T183" s="1786"/>
      <c r="U183" s="1786"/>
      <c r="V183" s="2262"/>
      <c r="W183" s="1786"/>
      <c r="X183" s="1786"/>
      <c r="Y183" s="1170"/>
      <c r="Z183" s="1786"/>
      <c r="AA183" s="1786"/>
      <c r="AB183" s="1786"/>
      <c r="AC183" s="1786"/>
      <c r="AD183" s="1786"/>
      <c r="AE183" s="2258"/>
      <c r="AF183" s="1192"/>
      <c r="AG183" s="1192"/>
      <c r="AH183" s="1192"/>
      <c r="AI183" s="1192"/>
      <c r="AJ183" s="2267">
        <v>11</v>
      </c>
    </row>
    <row s="35197" customFormat="1" customHeight="1" ht="11.549999999999999">
      <c r="A184" s="1613"/>
      <c r="B184" s="2262"/>
      <c r="C184" s="2262"/>
      <c r="D184" s="977"/>
      <c r="J184" s="4642"/>
      <c r="K184" s="4642"/>
      <c r="L184" s="4642"/>
      <c r="M184" s="4642"/>
      <c r="O184" s="1786"/>
      <c r="P184" s="2262"/>
      <c r="Q184" s="2262"/>
      <c r="R184" s="1786"/>
      <c r="S184" s="1786"/>
      <c r="T184" s="1786"/>
      <c r="U184" s="1786"/>
      <c r="V184" s="2262"/>
      <c r="W184" s="1786"/>
      <c r="X184" s="1786"/>
      <c r="Y184" s="1170"/>
      <c r="Z184" s="1786"/>
      <c r="AA184" s="1786"/>
      <c r="AB184" s="1786"/>
      <c r="AC184" s="1786"/>
      <c r="AD184" s="1786"/>
      <c r="AE184" s="2258"/>
      <c r="AF184" s="1192"/>
      <c r="AG184" s="1192"/>
      <c r="AH184" s="1192"/>
      <c r="AI184" s="1192"/>
      <c r="AJ184" s="2267">
        <v>11</v>
      </c>
    </row>
    <row s="35197" customFormat="1" customHeight="1" ht="11.549999999999999">
      <c r="A185" s="1613"/>
      <c r="B185" s="2262"/>
      <c r="C185" s="2262"/>
      <c r="D185" s="977"/>
      <c r="J185" s="4642"/>
      <c r="K185" s="4642"/>
      <c r="L185" s="4642"/>
      <c r="M185" s="4642"/>
      <c r="O185" s="1786"/>
      <c r="P185" s="2262"/>
      <c r="Q185" s="2262"/>
      <c r="R185" s="1786"/>
      <c r="S185" s="1786"/>
      <c r="T185" s="1786"/>
      <c r="U185" s="1786"/>
      <c r="V185" s="2262"/>
      <c r="W185" s="1786"/>
      <c r="X185" s="1786"/>
      <c r="Y185" s="1170"/>
      <c r="Z185" s="1786"/>
      <c r="AA185" s="1786"/>
      <c r="AB185" s="1786"/>
      <c r="AC185" s="1786"/>
      <c r="AD185" s="1786"/>
      <c r="AE185" s="2258"/>
      <c r="AF185" s="1192"/>
      <c r="AG185" s="1192"/>
      <c r="AH185" s="1192"/>
      <c r="AI185" s="1192"/>
      <c r="AJ185" s="2267">
        <v>11</v>
      </c>
    </row>
    <row s="35197" customFormat="1" customHeight="1" ht="11.549999999999999">
      <c r="A186" s="1613"/>
      <c r="B186" s="2262"/>
      <c r="C186" s="2262"/>
      <c r="D186" s="977"/>
      <c r="J186" s="4642"/>
      <c r="K186" s="4642"/>
      <c r="L186" s="4642"/>
      <c r="M186" s="4642"/>
      <c r="O186" s="1786"/>
      <c r="P186" s="2262"/>
      <c r="Q186" s="2262"/>
      <c r="R186" s="1786"/>
      <c r="S186" s="1786"/>
      <c r="T186" s="1786"/>
      <c r="U186" s="1786"/>
      <c r="V186" s="2262"/>
      <c r="W186" s="1786"/>
      <c r="X186" s="1786"/>
      <c r="Y186" s="1170"/>
      <c r="Z186" s="1786"/>
      <c r="AA186" s="1786"/>
      <c r="AB186" s="1786"/>
      <c r="AC186" s="1786"/>
      <c r="AD186" s="1786"/>
      <c r="AE186" s="2258"/>
      <c r="AF186" s="1192"/>
      <c r="AG186" s="1192"/>
      <c r="AH186" s="1192"/>
      <c r="AI186" s="1192"/>
      <c r="AJ186" s="2267">
        <v>11</v>
      </c>
    </row>
    <row s="35197" customFormat="1" customHeight="1" ht="11.549999999999999">
      <c r="A187" s="1613"/>
      <c r="B187" s="2262"/>
      <c r="C187" s="2262"/>
      <c r="D187" s="977"/>
      <c r="J187" s="4642"/>
      <c r="K187" s="4642"/>
      <c r="L187" s="4642"/>
      <c r="M187" s="4642"/>
      <c r="O187" s="1786"/>
      <c r="P187" s="2262"/>
      <c r="Q187" s="2262"/>
      <c r="R187" s="1786"/>
      <c r="S187" s="1786"/>
      <c r="T187" s="1786"/>
      <c r="U187" s="1786"/>
      <c r="V187" s="2262"/>
      <c r="W187" s="1786"/>
      <c r="X187" s="1786"/>
      <c r="Y187" s="1170"/>
      <c r="Z187" s="1786"/>
      <c r="AA187" s="1786"/>
      <c r="AB187" s="1786"/>
      <c r="AC187" s="1786"/>
      <c r="AD187" s="1786"/>
      <c r="AE187" s="2258"/>
      <c r="AF187" s="1192"/>
      <c r="AG187" s="1192"/>
      <c r="AH187" s="1192"/>
      <c r="AI187" s="1192"/>
      <c r="AJ187" s="2267">
        <v>11</v>
      </c>
    </row>
    <row s="35197" customFormat="1" customHeight="1" ht="11.549999999999999">
      <c r="A188" s="1613"/>
      <c r="B188" s="2262"/>
      <c r="C188" s="2262"/>
      <c r="D188" s="977"/>
      <c r="J188" s="4642"/>
      <c r="K188" s="4642"/>
      <c r="L188" s="4642"/>
      <c r="M188" s="4642"/>
      <c r="O188" s="1786"/>
      <c r="P188" s="2262"/>
      <c r="Q188" s="2262"/>
      <c r="R188" s="1786"/>
      <c r="S188" s="1786"/>
      <c r="T188" s="1786"/>
      <c r="U188" s="1786"/>
      <c r="V188" s="2262"/>
      <c r="W188" s="1786"/>
      <c r="X188" s="1786"/>
      <c r="Y188" s="1170"/>
      <c r="Z188" s="1786"/>
      <c r="AA188" s="1786"/>
      <c r="AB188" s="1786"/>
      <c r="AC188" s="1786"/>
      <c r="AD188" s="1786"/>
      <c r="AE188" s="2258"/>
      <c r="AF188" s="1192"/>
      <c r="AG188" s="1192"/>
      <c r="AH188" s="1192"/>
      <c r="AI188" s="1192"/>
      <c r="AJ188" s="2267">
        <v>11</v>
      </c>
    </row>
    <row s="35197" customFormat="1" customHeight="1" ht="11.549999999999999">
      <c r="A189" s="1613"/>
      <c r="B189" s="2262"/>
      <c r="C189" s="2262"/>
      <c r="D189" s="977"/>
      <c r="J189" s="4642"/>
      <c r="K189" s="4642"/>
      <c r="L189" s="4642"/>
      <c r="M189" s="4642"/>
      <c r="O189" s="1786"/>
      <c r="P189" s="2262"/>
      <c r="Q189" s="2262"/>
      <c r="R189" s="1786"/>
      <c r="S189" s="1786"/>
      <c r="T189" s="1786"/>
      <c r="U189" s="1786"/>
      <c r="V189" s="2262"/>
      <c r="W189" s="1786"/>
      <c r="X189" s="1786"/>
      <c r="Y189" s="1170"/>
      <c r="Z189" s="1786"/>
      <c r="AA189" s="1786"/>
      <c r="AB189" s="1786"/>
      <c r="AC189" s="1786"/>
      <c r="AD189" s="1786"/>
      <c r="AE189" s="2258"/>
      <c r="AF189" s="1192"/>
      <c r="AG189" s="1192"/>
      <c r="AH189" s="1192"/>
      <c r="AI189" s="1192"/>
      <c r="AJ189" s="2267">
        <v>11</v>
      </c>
    </row>
    <row s="35197" customFormat="1" customHeight="1" ht="11.549999999999999">
      <c r="A190" s="1613"/>
      <c r="B190" s="2262"/>
      <c r="C190" s="2262"/>
      <c r="D190" s="977"/>
      <c r="J190" s="4642"/>
      <c r="K190" s="4642"/>
      <c r="L190" s="4642"/>
      <c r="M190" s="4642"/>
      <c r="O190" s="1786"/>
      <c r="P190" s="2262"/>
      <c r="Q190" s="2262"/>
      <c r="R190" s="1786"/>
      <c r="S190" s="1786"/>
      <c r="T190" s="1786"/>
      <c r="U190" s="1786"/>
      <c r="V190" s="2262"/>
      <c r="W190" s="1786"/>
      <c r="X190" s="1786"/>
      <c r="Y190" s="1170"/>
      <c r="Z190" s="1786"/>
      <c r="AA190" s="1786"/>
      <c r="AB190" s="1786"/>
      <c r="AC190" s="1786"/>
      <c r="AD190" s="1786"/>
      <c r="AE190" s="2258"/>
      <c r="AF190" s="1192"/>
      <c r="AG190" s="1192"/>
      <c r="AH190" s="1192"/>
      <c r="AI190" s="1192"/>
      <c r="AJ190" s="2267">
        <v>11</v>
      </c>
    </row>
    <row s="35197" customFormat="1" customHeight="1" ht="11.549999999999999">
      <c r="A191" s="1613"/>
      <c r="B191" s="2262"/>
      <c r="C191" s="2262"/>
      <c r="D191" s="977"/>
      <c r="J191" s="4642"/>
      <c r="K191" s="4642"/>
      <c r="L191" s="4642"/>
      <c r="M191" s="4642"/>
      <c r="O191" s="1786"/>
      <c r="P191" s="2262"/>
      <c r="Q191" s="2262"/>
      <c r="R191" s="1786"/>
      <c r="S191" s="1786"/>
      <c r="T191" s="1786"/>
      <c r="U191" s="1786"/>
      <c r="V191" s="2262"/>
      <c r="W191" s="1786"/>
      <c r="X191" s="1786"/>
      <c r="Y191" s="1170"/>
      <c r="Z191" s="1786"/>
      <c r="AA191" s="1786"/>
      <c r="AB191" s="1786"/>
      <c r="AC191" s="1786"/>
      <c r="AD191" s="1786"/>
      <c r="AE191" s="2258"/>
      <c r="AF191" s="1192"/>
      <c r="AG191" s="1192"/>
      <c r="AH191" s="1192"/>
      <c r="AI191" s="1192"/>
      <c r="AJ191" s="2267">
        <v>11</v>
      </c>
    </row>
    <row s="35197" customFormat="1" customHeight="1" ht="11.549999999999999">
      <c r="A192" s="1613"/>
      <c r="B192" s="2262"/>
      <c r="C192" s="2262"/>
      <c r="D192" s="977"/>
      <c r="J192" s="4642"/>
      <c r="K192" s="4642"/>
      <c r="L192" s="4642"/>
      <c r="M192" s="4642"/>
      <c r="O192" s="1786"/>
      <c r="P192" s="2262"/>
      <c r="Q192" s="2262"/>
      <c r="R192" s="1786"/>
      <c r="S192" s="1786"/>
      <c r="T192" s="1786"/>
      <c r="U192" s="1786"/>
      <c r="V192" s="2262"/>
      <c r="W192" s="1786"/>
      <c r="X192" s="1786"/>
      <c r="Y192" s="1170"/>
      <c r="Z192" s="1786"/>
      <c r="AA192" s="1786"/>
      <c r="AB192" s="1786"/>
      <c r="AC192" s="1786"/>
      <c r="AD192" s="1786"/>
      <c r="AE192" s="2258"/>
      <c r="AF192" s="1192"/>
      <c r="AG192" s="1192"/>
      <c r="AH192" s="1192"/>
      <c r="AI192" s="1192"/>
      <c r="AJ192" s="2267">
        <v>11</v>
      </c>
    </row>
    <row s="35197" customFormat="1" customHeight="1" ht="11.549999999999999">
      <c r="A193" s="1613"/>
      <c r="B193" s="2262"/>
      <c r="C193" s="2262"/>
      <c r="D193" s="977"/>
      <c r="J193" s="4642"/>
      <c r="K193" s="4642"/>
      <c r="L193" s="4642"/>
      <c r="M193" s="4642"/>
      <c r="O193" s="1786"/>
      <c r="P193" s="2262"/>
      <c r="Q193" s="2262"/>
      <c r="R193" s="1786"/>
      <c r="S193" s="1786"/>
      <c r="T193" s="1786"/>
      <c r="U193" s="1786"/>
      <c r="V193" s="2262"/>
      <c r="W193" s="1786"/>
      <c r="X193" s="1786"/>
      <c r="Y193" s="1170"/>
      <c r="Z193" s="1786"/>
      <c r="AA193" s="1786"/>
      <c r="AB193" s="1786"/>
      <c r="AC193" s="1786"/>
      <c r="AD193" s="1786"/>
      <c r="AE193" s="2258"/>
      <c r="AF193" s="1192"/>
      <c r="AG193" s="1192"/>
      <c r="AH193" s="1192"/>
      <c r="AI193" s="1192"/>
      <c r="AJ193" s="2267">
        <v>11</v>
      </c>
    </row>
    <row s="35197" customFormat="1" customHeight="1" ht="11.549999999999999">
      <c r="A194" s="1613"/>
      <c r="B194" s="2262"/>
      <c r="C194" s="2262"/>
      <c r="D194" s="977"/>
      <c r="J194" s="4642"/>
      <c r="K194" s="4642"/>
      <c r="L194" s="4642"/>
      <c r="M194" s="4642"/>
      <c r="O194" s="1786"/>
      <c r="P194" s="2262"/>
      <c r="Q194" s="2262"/>
      <c r="R194" s="1786"/>
      <c r="S194" s="1786"/>
      <c r="T194" s="1786"/>
      <c r="U194" s="1786"/>
      <c r="V194" s="2262"/>
      <c r="W194" s="1786"/>
      <c r="X194" s="1786"/>
      <c r="Y194" s="1170"/>
      <c r="Z194" s="1786"/>
      <c r="AA194" s="1786"/>
      <c r="AB194" s="1786"/>
      <c r="AC194" s="1786"/>
      <c r="AD194" s="1786"/>
      <c r="AE194" s="2258"/>
      <c r="AF194" s="1192"/>
      <c r="AG194" s="1192"/>
      <c r="AH194" s="1192"/>
      <c r="AI194" s="1192"/>
      <c r="AJ194" s="2267">
        <v>11</v>
      </c>
    </row>
    <row s="35197" customFormat="1" customHeight="1" ht="11.549999999999999">
      <c r="A195" s="1613"/>
      <c r="B195" s="2262"/>
      <c r="C195" s="2262"/>
      <c r="D195" s="977"/>
      <c r="J195" s="4642"/>
      <c r="K195" s="4642"/>
      <c r="L195" s="4642"/>
      <c r="M195" s="4642"/>
      <c r="O195" s="1786"/>
      <c r="P195" s="2262"/>
      <c r="Q195" s="2262"/>
      <c r="R195" s="1786"/>
      <c r="S195" s="1786"/>
      <c r="T195" s="1786"/>
      <c r="U195" s="1786"/>
      <c r="V195" s="2262"/>
      <c r="W195" s="1786"/>
      <c r="X195" s="1786"/>
      <c r="Y195" s="1170"/>
      <c r="Z195" s="1786"/>
      <c r="AA195" s="1786"/>
      <c r="AB195" s="1786"/>
      <c r="AC195" s="1786"/>
      <c r="AD195" s="1786"/>
      <c r="AE195" s="2258"/>
      <c r="AF195" s="1192"/>
      <c r="AG195" s="1192"/>
      <c r="AH195" s="1192"/>
      <c r="AI195" s="1192"/>
      <c r="AJ195" s="2267">
        <v>11</v>
      </c>
    </row>
    <row s="35197" customFormat="1" customHeight="1" ht="11.549999999999999">
      <c r="A196" s="1613"/>
      <c r="B196" s="2262"/>
      <c r="C196" s="2262"/>
      <c r="D196" s="977"/>
      <c r="J196" s="4642"/>
      <c r="K196" s="4642"/>
      <c r="L196" s="4642"/>
      <c r="M196" s="4642"/>
      <c r="O196" s="1786"/>
      <c r="P196" s="2262"/>
      <c r="Q196" s="2262"/>
      <c r="R196" s="1786"/>
      <c r="S196" s="1786"/>
      <c r="T196" s="1786"/>
      <c r="U196" s="1786"/>
      <c r="V196" s="2262"/>
      <c r="W196" s="1786"/>
      <c r="X196" s="1786"/>
      <c r="Y196" s="1170"/>
      <c r="Z196" s="1786"/>
      <c r="AA196" s="1786"/>
      <c r="AB196" s="1786"/>
      <c r="AC196" s="1786"/>
      <c r="AD196" s="1786"/>
      <c r="AE196" s="2258"/>
      <c r="AF196" s="1192"/>
      <c r="AG196" s="1192"/>
      <c r="AH196" s="1192"/>
      <c r="AI196" s="1192"/>
      <c r="AJ196" s="2267">
        <v>11</v>
      </c>
    </row>
    <row s="35197" customFormat="1" customHeight="1" ht="11.549999999999999">
      <c r="A197" s="1613"/>
      <c r="B197" s="2262"/>
      <c r="C197" s="2262"/>
      <c r="D197" s="977"/>
      <c r="J197" s="4642"/>
      <c r="K197" s="4642"/>
      <c r="L197" s="4642"/>
      <c r="M197" s="4642"/>
      <c r="O197" s="1786"/>
      <c r="P197" s="2262"/>
      <c r="Q197" s="2262"/>
      <c r="R197" s="1786"/>
      <c r="S197" s="1786"/>
      <c r="T197" s="1786"/>
      <c r="U197" s="1786"/>
      <c r="V197" s="2262"/>
      <c r="W197" s="1786"/>
      <c r="X197" s="1786"/>
      <c r="Y197" s="1170"/>
      <c r="Z197" s="1786"/>
      <c r="AA197" s="1786"/>
      <c r="AB197" s="1786"/>
      <c r="AC197" s="1786"/>
      <c r="AD197" s="1786"/>
      <c r="AE197" s="2258"/>
      <c r="AF197" s="1192"/>
      <c r="AG197" s="1192"/>
      <c r="AH197" s="1192"/>
      <c r="AI197" s="1192"/>
      <c r="AJ197" s="2267">
        <v>11</v>
      </c>
    </row>
    <row s="35197" customFormat="1" customHeight="1" ht="11.549999999999999">
      <c r="A198" s="1613"/>
      <c r="B198" s="2262"/>
      <c r="C198" s="2262"/>
      <c r="D198" s="977"/>
      <c r="J198" s="4642"/>
      <c r="K198" s="4642"/>
      <c r="L198" s="4642"/>
      <c r="M198" s="4642"/>
      <c r="O198" s="1786"/>
      <c r="P198" s="2262"/>
      <c r="Q198" s="2262"/>
      <c r="R198" s="1786"/>
      <c r="S198" s="1786"/>
      <c r="T198" s="1786"/>
      <c r="U198" s="1786"/>
      <c r="V198" s="2262"/>
      <c r="W198" s="1786"/>
      <c r="X198" s="1786"/>
      <c r="Y198" s="1170"/>
      <c r="Z198" s="1786"/>
      <c r="AA198" s="1786"/>
      <c r="AB198" s="1786"/>
      <c r="AC198" s="1786"/>
      <c r="AD198" s="1786"/>
      <c r="AE198" s="2258"/>
      <c r="AF198" s="1192"/>
      <c r="AG198" s="1192"/>
      <c r="AH198" s="1192"/>
      <c r="AI198" s="1192"/>
      <c r="AJ198" s="2267">
        <v>11</v>
      </c>
    </row>
    <row s="35197" customFormat="1" customHeight="1" ht="11.549999999999999">
      <c r="A199" s="1613"/>
      <c r="B199" s="2262"/>
      <c r="C199" s="2262"/>
      <c r="D199" s="977"/>
      <c r="J199" s="4642"/>
      <c r="K199" s="4642"/>
      <c r="L199" s="4642"/>
      <c r="M199" s="4642"/>
      <c r="O199" s="1786"/>
      <c r="P199" s="2262"/>
      <c r="Q199" s="2262"/>
      <c r="R199" s="1786"/>
      <c r="S199" s="1786"/>
      <c r="T199" s="1786"/>
      <c r="U199" s="1786"/>
      <c r="V199" s="2262"/>
      <c r="W199" s="1786"/>
      <c r="X199" s="1786"/>
      <c r="Y199" s="1170"/>
      <c r="Z199" s="1786"/>
      <c r="AA199" s="1786"/>
      <c r="AB199" s="1786"/>
      <c r="AC199" s="1786"/>
      <c r="AD199" s="1786"/>
      <c r="AE199" s="2258"/>
      <c r="AF199" s="1192"/>
      <c r="AG199" s="1192"/>
      <c r="AH199" s="1192"/>
      <c r="AI199" s="1192"/>
      <c r="AJ199" s="2267">
        <v>11</v>
      </c>
    </row>
    <row s="35197" customFormat="1" customHeight="1" ht="11.549999999999999">
      <c r="A200" s="1613"/>
      <c r="B200" s="2262"/>
      <c r="C200" s="2262"/>
      <c r="D200" s="977"/>
      <c r="J200" s="4642"/>
      <c r="K200" s="4642"/>
      <c r="L200" s="4642"/>
      <c r="M200" s="4642"/>
      <c r="O200" s="1786"/>
      <c r="P200" s="2262"/>
      <c r="Q200" s="2262"/>
      <c r="R200" s="1786"/>
      <c r="S200" s="1786"/>
      <c r="T200" s="1786"/>
      <c r="U200" s="1786"/>
      <c r="V200" s="2262"/>
      <c r="W200" s="1786"/>
      <c r="X200" s="1786"/>
      <c r="Y200" s="1170"/>
      <c r="Z200" s="1786"/>
      <c r="AA200" s="1786"/>
      <c r="AB200" s="1786"/>
      <c r="AC200" s="1786"/>
      <c r="AD200" s="1786"/>
      <c r="AE200" s="2258"/>
      <c r="AF200" s="1192"/>
      <c r="AG200" s="1192"/>
      <c r="AH200" s="1192"/>
      <c r="AI200" s="1192"/>
      <c r="AJ200" s="2267">
        <v>11</v>
      </c>
    </row>
    <row s="35197" customFormat="1" customHeight="1" ht="11.549999999999999">
      <c r="A201" s="1613"/>
      <c r="B201" s="2262"/>
      <c r="C201" s="2262"/>
      <c r="D201" s="977"/>
      <c r="J201" s="4642"/>
      <c r="K201" s="4642"/>
      <c r="L201" s="4642"/>
      <c r="M201" s="4642"/>
      <c r="O201" s="1786"/>
      <c r="P201" s="2262"/>
      <c r="Q201" s="2262"/>
      <c r="R201" s="1786"/>
      <c r="S201" s="1786"/>
      <c r="T201" s="1786"/>
      <c r="U201" s="1786"/>
      <c r="V201" s="2262"/>
      <c r="W201" s="1786"/>
      <c r="X201" s="1786"/>
      <c r="Y201" s="1170"/>
      <c r="Z201" s="1786"/>
      <c r="AA201" s="1786"/>
      <c r="AB201" s="1786"/>
      <c r="AC201" s="1786"/>
      <c r="AD201" s="1786"/>
      <c r="AE201" s="2258"/>
      <c r="AF201" s="1192"/>
      <c r="AG201" s="1192"/>
      <c r="AH201" s="1192"/>
      <c r="AI201" s="1192"/>
      <c r="AJ201" s="2267">
        <v>11</v>
      </c>
    </row>
    <row s="35197" customFormat="1" customHeight="1" ht="11.549999999999999">
      <c r="A202" s="1613"/>
      <c r="B202" s="2262"/>
      <c r="C202" s="2262"/>
      <c r="D202" s="977"/>
      <c r="J202" s="4642"/>
      <c r="K202" s="4642"/>
      <c r="L202" s="4642"/>
      <c r="M202" s="4642"/>
      <c r="O202" s="1786"/>
      <c r="P202" s="2262"/>
      <c r="Q202" s="2262"/>
      <c r="R202" s="1786"/>
      <c r="S202" s="1786"/>
      <c r="T202" s="1786"/>
      <c r="U202" s="1786"/>
      <c r="V202" s="2262"/>
      <c r="W202" s="1786"/>
      <c r="X202" s="1786"/>
      <c r="Y202" s="1170"/>
      <c r="Z202" s="1786"/>
      <c r="AA202" s="1786"/>
      <c r="AB202" s="1786"/>
      <c r="AC202" s="1786"/>
      <c r="AD202" s="1786"/>
      <c r="AE202" s="2258"/>
      <c r="AF202" s="1192"/>
      <c r="AG202" s="1192"/>
      <c r="AH202" s="1192"/>
      <c r="AI202" s="1192"/>
      <c r="AJ202" s="2267">
        <v>11</v>
      </c>
    </row>
    <row customHeight="1" ht="11.549999999999999">
      <c r="J203" s="4469"/>
      <c r="K203" s="4469"/>
      <c r="L203" s="4469"/>
      <c r="M203" s="4469"/>
      <c r="AJ203" s="2257">
        <v>11</v>
      </c>
    </row>
    <row customHeight="1" ht="11.549999999999999">
      <c r="J204" s="4469"/>
      <c r="K204" s="4469"/>
      <c r="L204" s="4469"/>
      <c r="M204" s="4469"/>
      <c r="AJ204" s="2257">
        <v>11</v>
      </c>
    </row>
    <row customHeight="1" ht="11.549999999999999">
      <c r="J205" s="4469"/>
      <c r="K205" s="4469"/>
      <c r="L205" s="4469"/>
      <c r="M205" s="4469"/>
      <c r="AJ205" s="2257">
        <v>11</v>
      </c>
    </row>
    <row customHeight="1" ht="11.549999999999999">
      <c r="A206" s="1616"/>
      <c r="B206" s="2257"/>
      <c r="D206" s="2257"/>
      <c r="J206" s="4469"/>
      <c r="K206" s="4469"/>
      <c r="L206" s="4469"/>
      <c r="M206" s="4469"/>
      <c r="O206" s="2257"/>
      <c r="R206" s="2257"/>
      <c r="S206" s="2257"/>
      <c r="T206" s="2257"/>
      <c r="U206" s="2257"/>
      <c r="W206" s="2257"/>
      <c r="X206" s="2257"/>
      <c r="Y206" s="2257"/>
      <c r="Z206" s="2257"/>
      <c r="AA206" s="2257"/>
      <c r="AB206" s="2257"/>
      <c r="AC206" s="2257"/>
      <c r="AD206" s="2257"/>
      <c r="AE206" s="2257"/>
      <c r="AF206" s="2257"/>
      <c r="AG206" s="2257"/>
      <c r="AH206" s="2257"/>
      <c r="AI206" s="2257"/>
      <c r="AJ206" s="2257">
        <v>11</v>
      </c>
    </row>
    <row customHeight="1" ht="11.549999999999999">
      <c r="A207" s="1616"/>
      <c r="B207" s="2257"/>
      <c r="D207" s="2257"/>
      <c r="J207" s="4469"/>
      <c r="K207" s="4469"/>
      <c r="L207" s="4469"/>
      <c r="M207" s="4469"/>
      <c r="O207" s="2257"/>
      <c r="R207" s="2257"/>
      <c r="S207" s="2257"/>
      <c r="T207" s="2257"/>
      <c r="U207" s="2257"/>
      <c r="W207" s="2257"/>
      <c r="X207" s="2257"/>
      <c r="Y207" s="2257"/>
      <c r="Z207" s="2257"/>
      <c r="AA207" s="2257"/>
      <c r="AB207" s="2257"/>
      <c r="AC207" s="2257"/>
      <c r="AD207" s="2257"/>
      <c r="AE207" s="2257"/>
      <c r="AF207" s="2257"/>
      <c r="AG207" s="2257"/>
      <c r="AH207" s="2257"/>
      <c r="AI207" s="2257"/>
      <c r="AJ207" s="2257">
        <v>11</v>
      </c>
    </row>
    <row customHeight="1" ht="11.549999999999999">
      <c r="A208" s="1616"/>
      <c r="B208" s="2257"/>
      <c r="D208" s="2257"/>
      <c r="J208" s="4469"/>
      <c r="K208" s="4469"/>
      <c r="L208" s="4469"/>
      <c r="M208" s="4469"/>
      <c r="O208" s="2257"/>
      <c r="R208" s="2257"/>
      <c r="S208" s="2257"/>
      <c r="T208" s="2257"/>
      <c r="U208" s="2257"/>
      <c r="W208" s="2257"/>
      <c r="X208" s="2257"/>
      <c r="Y208" s="2257"/>
      <c r="Z208" s="2257"/>
      <c r="AA208" s="2257"/>
      <c r="AB208" s="2257"/>
      <c r="AC208" s="2257"/>
      <c r="AD208" s="2257"/>
      <c r="AE208" s="2257"/>
      <c r="AF208" s="2257"/>
      <c r="AG208" s="2257"/>
      <c r="AH208" s="2257"/>
      <c r="AI208" s="2257"/>
      <c r="AJ208" s="2257">
        <v>11</v>
      </c>
    </row>
    <row customHeight="1" ht="11.549999999999999">
      <c r="A209" s="1616"/>
      <c r="B209" s="2257"/>
      <c r="D209" s="2257"/>
      <c r="J209" s="4469"/>
      <c r="K209" s="4469"/>
      <c r="L209" s="4469"/>
      <c r="M209" s="4469"/>
      <c r="O209" s="2257"/>
      <c r="R209" s="2257"/>
      <c r="S209" s="2257"/>
      <c r="T209" s="2257"/>
      <c r="U209" s="2257"/>
      <c r="W209" s="2257"/>
      <c r="X209" s="2257"/>
      <c r="Y209" s="2257"/>
      <c r="Z209" s="2257"/>
      <c r="AA209" s="2257"/>
      <c r="AB209" s="2257"/>
      <c r="AC209" s="2257"/>
      <c r="AD209" s="2257"/>
      <c r="AE209" s="2257"/>
      <c r="AF209" s="2257"/>
      <c r="AG209" s="2257"/>
      <c r="AH209" s="2257"/>
      <c r="AI209" s="2257"/>
      <c r="AJ209" s="2257">
        <v>11</v>
      </c>
    </row>
    <row customHeight="1" ht="11.549999999999999">
      <c r="A210" s="1616"/>
      <c r="B210" s="2257"/>
      <c r="D210" s="2257"/>
      <c r="J210" s="4469"/>
      <c r="K210" s="4469"/>
      <c r="L210" s="4469"/>
      <c r="M210" s="4469"/>
      <c r="O210" s="2257"/>
      <c r="R210" s="2257"/>
      <c r="S210" s="2257"/>
      <c r="T210" s="2257"/>
      <c r="U210" s="2257"/>
      <c r="W210" s="2257"/>
      <c r="X210" s="2257"/>
      <c r="Y210" s="2257"/>
      <c r="Z210" s="2257"/>
      <c r="AA210" s="2257"/>
      <c r="AB210" s="2257"/>
      <c r="AC210" s="2257"/>
      <c r="AD210" s="2257"/>
      <c r="AE210" s="2257"/>
      <c r="AF210" s="2257"/>
      <c r="AG210" s="2257"/>
      <c r="AH210" s="2257"/>
      <c r="AI210" s="2257"/>
      <c r="AJ210" s="2257">
        <v>11</v>
      </c>
    </row>
    <row customHeight="1" ht="11.549999999999999">
      <c r="A211" s="1616"/>
      <c r="B211" s="2257"/>
      <c r="D211" s="2257"/>
      <c r="J211" s="4469"/>
      <c r="K211" s="4469"/>
      <c r="L211" s="4469"/>
      <c r="M211" s="4469"/>
      <c r="O211" s="2257"/>
      <c r="R211" s="2257"/>
      <c r="S211" s="2257"/>
      <c r="T211" s="2257"/>
      <c r="U211" s="2257"/>
      <c r="W211" s="2257"/>
      <c r="X211" s="2257"/>
      <c r="Y211" s="2257"/>
      <c r="Z211" s="2257"/>
      <c r="AA211" s="2257"/>
      <c r="AB211" s="2257"/>
      <c r="AC211" s="2257"/>
      <c r="AD211" s="2257"/>
      <c r="AE211" s="2257"/>
      <c r="AF211" s="2257"/>
      <c r="AG211" s="2257"/>
      <c r="AH211" s="2257"/>
      <c r="AI211" s="2257"/>
      <c r="AJ211" s="2257">
        <v>11</v>
      </c>
    </row>
    <row customHeight="1" ht="11.549999999999999">
      <c r="A212" s="1616"/>
      <c r="B212" s="2257"/>
      <c r="D212" s="2257"/>
      <c r="J212" s="4469"/>
      <c r="K212" s="4469"/>
      <c r="L212" s="4469"/>
      <c r="M212" s="4469"/>
      <c r="O212" s="2257"/>
      <c r="R212" s="2257"/>
      <c r="S212" s="2257"/>
      <c r="T212" s="2257"/>
      <c r="U212" s="2257"/>
      <c r="W212" s="2257"/>
      <c r="X212" s="2257"/>
      <c r="Y212" s="2257"/>
      <c r="Z212" s="2257"/>
      <c r="AA212" s="2257"/>
      <c r="AB212" s="2257"/>
      <c r="AC212" s="2257"/>
      <c r="AD212" s="2257"/>
      <c r="AE212" s="2257"/>
      <c r="AF212" s="2257"/>
      <c r="AG212" s="2257"/>
      <c r="AH212" s="2257"/>
      <c r="AI212" s="2257"/>
      <c r="AJ212" s="2257">
        <v>11</v>
      </c>
    </row>
    <row customHeight="1" ht="11.549999999999999">
      <c r="A213" s="1616"/>
      <c r="B213" s="2257"/>
      <c r="D213" s="2257"/>
      <c r="J213" s="4469"/>
      <c r="K213" s="4469"/>
      <c r="L213" s="4469"/>
      <c r="M213" s="4469"/>
      <c r="O213" s="2257"/>
      <c r="R213" s="2257"/>
      <c r="S213" s="2257"/>
      <c r="T213" s="2257"/>
      <c r="U213" s="2257"/>
      <c r="W213" s="2257"/>
      <c r="X213" s="2257"/>
      <c r="Y213" s="2257"/>
      <c r="Z213" s="2257"/>
      <c r="AA213" s="2257"/>
      <c r="AB213" s="2257"/>
      <c r="AC213" s="2257"/>
      <c r="AD213" s="2257"/>
      <c r="AE213" s="2257"/>
      <c r="AF213" s="2257"/>
      <c r="AG213" s="2257"/>
      <c r="AH213" s="2257"/>
      <c r="AI213" s="2257"/>
      <c r="AJ213" s="2257">
        <v>11</v>
      </c>
    </row>
    <row customHeight="1" ht="11.549999999999999">
      <c r="A214" s="1616"/>
      <c r="B214" s="2257"/>
      <c r="D214" s="2257"/>
      <c r="J214" s="4469"/>
      <c r="K214" s="4469"/>
      <c r="L214" s="4469"/>
      <c r="M214" s="4469"/>
      <c r="O214" s="2257"/>
      <c r="R214" s="2257"/>
      <c r="S214" s="2257"/>
      <c r="T214" s="2257"/>
      <c r="U214" s="2257"/>
      <c r="W214" s="2257"/>
      <c r="X214" s="2257"/>
      <c r="Y214" s="2257"/>
      <c r="Z214" s="2257"/>
      <c r="AA214" s="2257"/>
      <c r="AB214" s="2257"/>
      <c r="AC214" s="2257"/>
      <c r="AD214" s="2257"/>
      <c r="AE214" s="2257"/>
      <c r="AF214" s="2257"/>
      <c r="AG214" s="2257"/>
      <c r="AH214" s="2257"/>
      <c r="AI214" s="2257"/>
      <c r="AJ214" s="2257">
        <v>11</v>
      </c>
    </row>
    <row customHeight="1" ht="11.549999999999999">
      <c r="A215" s="1616"/>
      <c r="B215" s="2257"/>
      <c r="D215" s="2257"/>
      <c r="J215" s="4469"/>
      <c r="K215" s="4469"/>
      <c r="L215" s="4469"/>
      <c r="M215" s="4469"/>
      <c r="O215" s="2257"/>
      <c r="R215" s="2257"/>
      <c r="S215" s="2257"/>
      <c r="T215" s="2257"/>
      <c r="U215" s="2257"/>
      <c r="W215" s="2257"/>
      <c r="X215" s="2257"/>
      <c r="Y215" s="2257"/>
      <c r="Z215" s="2257"/>
      <c r="AA215" s="2257"/>
      <c r="AB215" s="2257"/>
      <c r="AC215" s="2257"/>
      <c r="AD215" s="2257"/>
      <c r="AE215" s="2257"/>
      <c r="AF215" s="2257"/>
      <c r="AG215" s="2257"/>
      <c r="AH215" s="2257"/>
      <c r="AI215" s="2257"/>
      <c r="AJ215" s="2257">
        <v>11</v>
      </c>
    </row>
    <row customHeight="1" ht="11.549999999999999">
      <c r="A216" s="1616"/>
      <c r="B216" s="2257"/>
      <c r="D216" s="2257"/>
      <c r="J216" s="4469"/>
      <c r="K216" s="4469"/>
      <c r="L216" s="4469"/>
      <c r="M216" s="4469"/>
      <c r="O216" s="2257"/>
      <c r="R216" s="2257"/>
      <c r="S216" s="2257"/>
      <c r="T216" s="2257"/>
      <c r="U216" s="2257"/>
      <c r="W216" s="2257"/>
      <c r="X216" s="2257"/>
      <c r="Y216" s="2257"/>
      <c r="Z216" s="2257"/>
      <c r="AA216" s="2257"/>
      <c r="AB216" s="2257"/>
      <c r="AC216" s="2257"/>
      <c r="AD216" s="2257"/>
      <c r="AE216" s="2257"/>
      <c r="AF216" s="2257"/>
      <c r="AG216" s="2257"/>
      <c r="AH216" s="2257"/>
      <c r="AI216" s="2257"/>
      <c r="AJ216" s="2257">
        <v>11</v>
      </c>
    </row>
    <row customHeight="1" ht="11.25" hidden="1">
      <c r="A217" s="1613" t="s">
        <v>82</v>
      </c>
      <c r="B217" s="1786">
        <v>0</v>
      </c>
      <c r="C217" s="2262">
        <v>0</v>
      </c>
      <c r="D217" s="2261">
        <v>3</v>
      </c>
      <c r="E217" s="2257">
        <v>7</v>
      </c>
      <c r="F217" s="2257">
        <v>56</v>
      </c>
      <c r="G217" s="2257">
        <v>10</v>
      </c>
      <c r="H217" s="2257">
        <v>0</v>
      </c>
      <c r="I217" s="2257">
        <v>40</v>
      </c>
      <c r="J217" s="4469">
        <v>0</v>
      </c>
      <c r="K217" s="4469">
        <v>0</v>
      </c>
      <c r="L217" s="4469">
        <v>0</v>
      </c>
      <c r="M217" s="4469">
        <v>0</v>
      </c>
      <c r="N217" s="2257">
        <v>102</v>
      </c>
      <c r="O217" s="1786">
        <v>9</v>
      </c>
      <c r="P217" s="2262">
        <v>5</v>
      </c>
      <c r="Q217" s="2262">
        <v>3</v>
      </c>
      <c r="R217" s="1786">
        <v>3</v>
      </c>
      <c r="S217" s="1786">
        <v>3</v>
      </c>
      <c r="T217" s="1786">
        <v>3</v>
      </c>
      <c r="U217" s="1786">
        <v>3</v>
      </c>
      <c r="V217" s="2262">
        <v>10</v>
      </c>
      <c r="W217" s="1786">
        <v>34</v>
      </c>
      <c r="X217" s="1786">
        <v>9</v>
      </c>
      <c r="Y217" s="1170">
        <v>8</v>
      </c>
      <c r="Z217" s="1786">
        <v>8</v>
      </c>
      <c r="AA217" s="1786">
        <v>8</v>
      </c>
      <c r="AB217" s="1786">
        <v>8</v>
      </c>
      <c r="AC217" s="1786">
        <v>8</v>
      </c>
      <c r="AD217" s="1786">
        <v>8</v>
      </c>
      <c r="AE217" s="2258">
        <v>8</v>
      </c>
      <c r="AF217" s="2258">
        <v>8</v>
      </c>
      <c r="AG217" s="2258">
        <v>8</v>
      </c>
      <c r="AH217" s="2258">
        <v>8</v>
      </c>
      <c r="AI217" s="2258">
        <v>8</v>
      </c>
      <c r="AJ217" s="2257">
        <v>11</v>
      </c>
    </row>
  </sheetData>
  <sheetProtection sheet="1" formatColumns="0" formatRows="0" autoFilter="0" sort="1" insertRows="1" insertColumns="1" deleteRows="1" deleteColumns="1"/>
  <mergeCells count="7">
    <mergeCell ref="E6:I6"/>
    <mergeCell ref="E7:I7"/>
    <mergeCell ref="F10:G10"/>
    <mergeCell ref="N10:N14"/>
    <mergeCell ref="F11:G11"/>
    <mergeCell ref="F12:G12"/>
    <mergeCell ref="E13:G13"/>
  </mergeCells>
  <dataValidations count="5">
    <dataValidation type="decimal" allowBlank="1" showErrorMessage="1" errorTitle="Ошибка" error="Допускается ввод только действительных чисел!" sqref="H40:M42">
      <formula1>-9.99999999999999E+37</formula1>
      <formula2>9.99999999999999E+37</formula2>
    </dataValidation>
    <dataValidation type="decimal" allowBlank="1" showErrorMessage="1" errorTitle="Ошибка" error="Допускается ввод только действительных чисел!" sqref="H36:M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M43">
      <formula1>900</formula1>
    </dataValidation>
    <dataValidation type="decimal" allowBlank="1" showErrorMessage="1" errorTitle="Ошибка" error="Допускается ввод только неотрицательных чисел!" sqref="H38:M39 H2:M2 H15:M15 H17:M32 H35:M35 H44: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M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7806E4-EE93-4CFC-1BB7-95FD9BD1944C}" mc:Ignorable="x14ac xr xr2 xr3">
  <sheetPr>
    <tabColor theme="9" tint="-0.25"/>
  </sheetPr>
  <dimension ref="A1:AJ210"/>
  <sheetViews>
    <sheetView showGridLines="0" zoomScale="90" workbookViewId="0">
      <pane xSplit="8" ySplit="14" topLeftCell="I15" activePane="bottomRight" state="frozen"/>
      <selection pane="bottomLeft" activeCell="A15" sqref="A15"/>
      <selection pane="topRight" activeCell="I1" sqref="I1"/>
      <selection pane="bottomRight" activeCell="M9" sqref="M9"/>
    </sheetView>
  </sheetViews>
  <sheetFormatPr defaultColWidth="9.140625" customHeight="1" defaultRowHeight="11.25"/>
  <cols>
    <col min="1" max="1" style="35916" width="10.7109375" hidden="1" customWidth="1"/>
    <col min="2" max="2" style="34657" width="16.8515625" hidden="1" customWidth="1"/>
    <col min="3" max="3" style="34658" width="5.57421875" hidden="1" customWidth="1"/>
    <col min="4" max="4" style="34580" width="3.00390625" customWidth="1"/>
    <col min="5" max="5" style="34580" width="7.00390625" customWidth="1"/>
    <col min="6" max="6" style="34580" width="54.00390625" customWidth="1"/>
    <col min="7" max="7" style="34580" width="10.00390625" customWidth="1"/>
    <col min="8" max="8" style="34580" width="40.7109375" hidden="1" customWidth="1"/>
    <col min="9" max="9" style="34580" width="40.00390625" customWidth="1"/>
    <col min="10" max="13" style="35917" width="40.7109375" customWidth="1"/>
    <col min="14" max="14" style="34580" width="102.00390625" customWidth="1"/>
    <col min="15" max="15" style="34657" width="9.00390625" customWidth="1"/>
    <col min="16" max="16" style="34658" width="5.00390625" customWidth="1"/>
    <col min="17" max="17" style="34658" width="3.00390625" customWidth="1"/>
    <col min="18" max="21" style="34657" width="3.00390625" customWidth="1"/>
    <col min="22" max="22" style="34658" width="10.00390625" customWidth="1"/>
    <col min="23" max="23" style="34657" width="34.00390625" customWidth="1"/>
    <col min="24" max="24" style="34657" width="9.00390625" customWidth="1"/>
    <col min="25" max="25" style="35918" width="8.00390625" customWidth="1"/>
    <col min="26" max="30" style="34657" width="8.00390625" customWidth="1"/>
    <col min="31" max="35" style="34544" width="8.00390625" customWidth="1"/>
    <col min="36" max="36" style="34580" width="9.140625" hidden="1"/>
  </cols>
  <sheetData>
    <row s="34657" customFormat="1" customHeight="1" ht="22.5" hidden="1">
      <c r="A1" s="1613"/>
      <c r="C1" s="2262"/>
      <c r="D1" s="1163"/>
      <c r="H1" s="1786">
        <v>4</v>
      </c>
      <c r="I1" s="1786">
        <v>4</v>
      </c>
      <c r="J1" s="4490">
        <v>4</v>
      </c>
      <c r="K1" s="4490">
        <v>4</v>
      </c>
      <c r="L1" s="4490">
        <v>4</v>
      </c>
      <c r="M1" s="4490">
        <v>4</v>
      </c>
      <c r="P1" s="2262"/>
      <c r="Q1" s="2262"/>
      <c r="V1" s="2262"/>
      <c r="AJ1" s="1786" t="s">
        <v>14</v>
      </c>
    </row>
    <row s="34657" customFormat="1" customHeight="1" ht="22.5" hidden="1">
      <c r="A2" s="1613"/>
      <c r="C2" s="2262"/>
      <c r="D2" s="1164"/>
      <c r="E2" s="2284"/>
      <c r="F2" s="1166"/>
      <c r="G2" s="2283" t="s">
        <v>570</v>
      </c>
      <c r="H2" s="1167"/>
      <c r="I2" s="1167"/>
      <c r="J2" s="4486"/>
      <c r="K2" s="4486"/>
      <c r="L2" s="4486"/>
      <c r="M2" s="4486"/>
      <c r="N2" s="1168" t="s">
        <v>573</v>
      </c>
      <c r="O2" s="1169"/>
      <c r="P2" s="2262"/>
      <c r="Q2" s="2262"/>
      <c r="V2" s="2262"/>
      <c r="Y2" s="1170"/>
      <c r="AE2" s="2258"/>
      <c r="AF2" s="2258"/>
      <c r="AG2" s="2258"/>
      <c r="AH2" s="2258"/>
      <c r="AI2" s="2258"/>
      <c r="AJ2" s="1786">
        <v>0</v>
      </c>
    </row>
    <row customHeight="1" ht="11.25" hidden="1">
      <c r="J3" s="4469"/>
      <c r="K3" s="4469"/>
      <c r="L3" s="4469"/>
      <c r="M3" s="4469"/>
      <c r="AJ3" s="2257">
        <v>0</v>
      </c>
    </row>
    <row s="34544" customFormat="1" customHeight="1" ht="11.25" hidden="1">
      <c r="A4" s="1613"/>
      <c r="B4" s="1786"/>
      <c r="C4" s="2262"/>
      <c r="D4" s="988"/>
      <c r="J4" s="4500"/>
      <c r="K4" s="4500"/>
      <c r="L4" s="4500"/>
      <c r="M4" s="4500"/>
      <c r="N4" s="2258">
        <v>4</v>
      </c>
      <c r="O4" s="1786"/>
      <c r="P4" s="2262"/>
      <c r="Q4" s="2262"/>
      <c r="R4" s="1786"/>
      <c r="S4" s="1786"/>
      <c r="T4" s="1786"/>
      <c r="U4" s="1786"/>
      <c r="V4" s="2262"/>
      <c r="W4" s="1786"/>
      <c r="X4" s="1786"/>
      <c r="Y4" s="1170"/>
      <c r="Z4" s="1786"/>
      <c r="AA4" s="1786"/>
      <c r="AB4" s="1786"/>
      <c r="AC4" s="1786"/>
      <c r="AD4" s="1786"/>
      <c r="AJ4" s="2258">
        <v>0</v>
      </c>
    </row>
    <row customHeight="1" ht="11.549999999999999">
      <c r="J5" s="4469"/>
      <c r="K5" s="4469"/>
      <c r="L5" s="4469"/>
      <c r="M5" s="4469"/>
      <c r="AJ5" s="2257">
        <v>11</v>
      </c>
    </row>
    <row customHeight="1" ht="33.75">
      <c r="E6" s="2874" t="s">
        <v>796</v>
      </c>
      <c r="F6" s="2874"/>
      <c r="G6" s="2874"/>
      <c r="H6" s="2874"/>
      <c r="I6" s="2874"/>
      <c r="J6" s="4501"/>
      <c r="K6" s="4501"/>
      <c r="L6" s="4501"/>
      <c r="M6" s="4501"/>
      <c r="N6" s="1182"/>
      <c r="AJ6" s="2257">
        <v>32</v>
      </c>
    </row>
    <row customHeight="1" ht="25.2">
      <c r="E7" s="2875" t="str">
        <f>IF(org=0,"Не определено",org)</f>
        <v>АО "ДГК"</v>
      </c>
      <c r="F7" s="2875"/>
      <c r="G7" s="2875"/>
      <c r="H7" s="2875"/>
      <c r="I7" s="2875"/>
      <c r="J7" s="4503"/>
      <c r="K7" s="4503"/>
      <c r="L7" s="4503"/>
      <c r="M7" s="4503"/>
      <c r="AJ7" s="2257">
        <v>24</v>
      </c>
    </row>
    <row customHeight="1" ht="11.549999999999999">
      <c r="E8" s="1761"/>
      <c r="F8" s="1761"/>
      <c r="G8" s="1761"/>
      <c r="H8" s="1761"/>
      <c r="I8" s="1761"/>
      <c r="J8" s="4505" t="s">
        <v>22</v>
      </c>
      <c r="K8" s="4505" t="s">
        <v>22</v>
      </c>
      <c r="L8" s="4505" t="s">
        <v>22</v>
      </c>
      <c r="M8" s="4505" t="s">
        <v>22</v>
      </c>
      <c r="AJ8" s="2257">
        <v>11</v>
      </c>
    </row>
    <row s="34658" customFormat="1" customHeight="1" ht="1.05">
      <c r="A9" s="1793"/>
      <c r="D9" s="2268"/>
      <c r="H9" s="1515"/>
      <c r="I9" s="1515" t="s">
        <v>126</v>
      </c>
      <c r="J9" s="4507" t="s">
        <v>131</v>
      </c>
      <c r="K9" s="4507" t="s">
        <v>134</v>
      </c>
      <c r="L9" s="4507" t="s">
        <v>139</v>
      </c>
      <c r="M9" s="4507" t="s">
        <v>137</v>
      </c>
      <c r="AJ9" s="2262">
        <v>1</v>
      </c>
    </row>
    <row customHeight="1" ht="11.549999999999999">
      <c r="E10" s="1337"/>
      <c r="F10" s="2993" t="s">
        <v>114</v>
      </c>
      <c r="G10" s="2994"/>
      <c r="H10" s="2285" t="str">
        <f>IF(H9="","",INDEX(DIFFERENTIATION_UNMERGE_VD,MATCH(H9,DIFFERENTIATION_ID_DIFF,0)))</f>
        <v/>
      </c>
      <c r="I10" s="2285"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J10" s="4512"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K10" s="4512" t="str">
        <f>IF(K9="","",INDEX(DIFFERENTIATION_UNMERGE_VD,MATCH(K9,DIFFERENTIATION_ID_DIFF,0)))</f>
        <v>Производство тепловой энергии. Некомбинированная выработка</v>
      </c>
      <c r="L10" s="4512" t="str">
        <f>IF(L9="","",INDEX(DIFFERENTIATION_UNMERGE_VD,MATCH(L9,DIFFERENTIATION_ID_DIFF,0)))</f>
        <v>Производство тепловой энергии. Комбинированная выработка с уст. мощностью производства электрической энергии 25 МВт и более</v>
      </c>
      <c r="M10" s="4512" t="str">
        <f>IF(M9="","",INDEX(DIFFERENTIATION_UNMERGE_VD,MATCH(M9,DIFFERENTIATION_ID_DIFF,0)))</f>
        <v>Производство тепловой энергии. Некомбинированная выработка</v>
      </c>
      <c r="N10" s="2753"/>
      <c r="AJ10" s="2257">
        <v>11</v>
      </c>
    </row>
    <row customHeight="1" ht="11.549999999999999">
      <c r="E11" s="1337"/>
      <c r="F11" s="2993" t="s">
        <v>582</v>
      </c>
      <c r="G11" s="2994"/>
      <c r="H11" s="2285" t="str">
        <f>IF(H9="","",INDEX(DIFFERENTIATION_UNMERGE_AREA,MATCH(H9,DIFFERENTIATION_ID_DIFF,0)))</f>
        <v/>
      </c>
      <c r="I11" s="2285" t="str">
        <f>IF(I9="","",INDEX(DIFFERENTIATION_UNMERGE_AREA,MATCH(I9,DIFFERENTIATION_ID_DIFF,0)))</f>
        <v>Территория 1</v>
      </c>
      <c r="J11" s="4512" t="str">
        <f>IF(J9="","",INDEX(DIFFERENTIATION_UNMERGE_AREA,MATCH(J9,DIFFERENTIATION_ID_DIFF,0)))</f>
        <v>Территория 2</v>
      </c>
      <c r="K11" s="4512" t="str">
        <f>IF(K9="","",INDEX(DIFFERENTIATION_UNMERGE_AREA,MATCH(K9,DIFFERENTIATION_ID_DIFF,0)))</f>
        <v>Территория 2</v>
      </c>
      <c r="L11" s="4512" t="str">
        <f>IF(L9="","",INDEX(DIFFERENTIATION_UNMERGE_AREA,MATCH(L9,DIFFERENTIATION_ID_DIFF,0)))</f>
        <v>Территория 3</v>
      </c>
      <c r="M11" s="4512" t="str">
        <f>IF(M9="","",INDEX(DIFFERENTIATION_UNMERGE_AREA,MATCH(M9,DIFFERENTIATION_ID_DIFF,0)))</f>
        <v>Территория 3</v>
      </c>
      <c r="N11" s="2753"/>
      <c r="AJ11" s="2257">
        <v>11</v>
      </c>
    </row>
    <row customHeight="1" ht="11.25" hidden="1">
      <c r="E12" s="2288"/>
      <c r="F12" s="3016" t="s">
        <v>583</v>
      </c>
      <c r="G12" s="3017"/>
      <c r="H12" s="2289" t="str">
        <f>IF(H9="","",INDEX(DIFFERENTIATION_UNMERGE_SYSTEM,MATCH(H9,DIFFERENTIATION_ID_DIFF,0)))</f>
        <v/>
      </c>
      <c r="I12" s="2289" t="str">
        <f>IF(I9="","",INDEX(DIFFERENTIATION_UNMERGE_SYSTEM,MATCH(I9,DIFFERENTIATION_ID_DIFF,0)))</f>
        <v>Благовещенская ТЭЦ (г. Благовещенск)</v>
      </c>
      <c r="J12" s="4814" t="str">
        <f>IF(J9="","",INDEX(DIFFERENTIATION_UNMERGE_SYSTEM,MATCH(J9,DIFFERENTIATION_ID_DIFF,0)))</f>
        <v>Райчихинская ГРЭС </v>
      </c>
      <c r="K12" s="4814" t="str">
        <f>IF(K9="","",INDEX(DIFFERENTIATION_UNMERGE_SYSTEM,MATCH(K9,DIFFERENTIATION_ID_DIFF,0)))</f>
        <v>Котельная "Агромех" (п.г.т. Новорайчихинск)</v>
      </c>
      <c r="L12" s="4814" t="str">
        <f>IF(L9="","",INDEX(DIFFERENTIATION_UNMERGE_SYSTEM,MATCH(L9,DIFFERENTIATION_ID_DIFF,0)))</f>
        <v>Благовещенская ТЭЦ (с. Чигири)</v>
      </c>
      <c r="M12" s="4814" t="str">
        <f>IF(M9="","",INDEX(DIFFERENTIATION_UNMERGE_SYSTEM,MATCH(M9,DIFFERENTIATION_ID_DIFF,0)))</f>
        <v>Котельная "Центральная" (с. Чигири ) </v>
      </c>
      <c r="N12" s="2753"/>
      <c r="AJ12" s="2257">
        <v>0</v>
      </c>
    </row>
    <row customHeight="1" ht="11.549999999999999">
      <c r="E13" s="2995" t="s">
        <v>318</v>
      </c>
      <c r="F13" s="2996"/>
      <c r="G13" s="2996"/>
      <c r="H13" s="2282"/>
      <c r="I13" s="2282"/>
      <c r="J13" s="4516"/>
      <c r="K13" s="4516"/>
      <c r="L13" s="4516"/>
      <c r="M13" s="4516"/>
      <c r="N13" s="2753"/>
      <c r="AJ13" s="2257">
        <v>11</v>
      </c>
    </row>
    <row customHeight="1" ht="24">
      <c r="E14" s="2283" t="s">
        <v>88</v>
      </c>
      <c r="F14" s="2286" t="s">
        <v>320</v>
      </c>
      <c r="G14" s="2286" t="s">
        <v>584</v>
      </c>
      <c r="H14" s="2286" t="s">
        <v>321</v>
      </c>
      <c r="I14" s="2286" t="s">
        <v>321</v>
      </c>
      <c r="J14" s="4475" t="s">
        <v>321</v>
      </c>
      <c r="K14" s="4475" t="s">
        <v>321</v>
      </c>
      <c r="L14" s="4475" t="s">
        <v>321</v>
      </c>
      <c r="M14" s="4475" t="s">
        <v>321</v>
      </c>
      <c r="N14" s="2753"/>
      <c r="AJ14" s="2257">
        <v>23</v>
      </c>
    </row>
    <row customHeight="1" ht="19.95">
      <c r="D15" s="2264"/>
      <c r="E15" s="2256" t="s">
        <v>118</v>
      </c>
      <c r="F15" s="1333" t="s">
        <v>797</v>
      </c>
      <c r="G15" s="2283" t="s">
        <v>570</v>
      </c>
      <c r="H15" s="1183"/>
      <c r="I15" s="1183"/>
      <c r="J15" s="4521"/>
      <c r="K15" s="4521"/>
      <c r="L15" s="4521"/>
      <c r="M15" s="4521"/>
      <c r="N15" s="915" t="s">
        <v>798</v>
      </c>
      <c r="O15" s="1169" t="s">
        <v>652</v>
      </c>
      <c r="AJ15" s="2257">
        <v>19</v>
      </c>
    </row>
    <row customHeight="1" ht="24">
      <c r="D16" s="2264"/>
      <c r="E16" s="2256" t="s">
        <v>102</v>
      </c>
      <c r="F16" s="2291" t="s">
        <v>799</v>
      </c>
      <c r="G16" s="2283" t="s">
        <v>570</v>
      </c>
      <c r="H16" s="1184">
        <f>SUM(H17,H20:H27)</f>
        <v>0</v>
      </c>
      <c r="I16" s="1184">
        <f>SUM(I17,I20:I27)</f>
        <v>0</v>
      </c>
      <c r="J16" s="4523">
        <f>SUM(J17,J20:J27)</f>
        <v>0</v>
      </c>
      <c r="K16" s="4523">
        <f>SUM(K17,K20:K27)</f>
        <v>0</v>
      </c>
      <c r="L16" s="4523">
        <f>SUM(L17,L20:L27)</f>
        <v>0</v>
      </c>
      <c r="M16" s="4523">
        <f>SUM(M17,M20:M27)</f>
        <v>0</v>
      </c>
      <c r="N16" s="915" t="s">
        <v>800</v>
      </c>
      <c r="O16" s="1169" t="s">
        <v>652</v>
      </c>
      <c r="AJ16" s="2257">
        <v>23</v>
      </c>
    </row>
    <row customHeight="1" ht="35.699999999999996">
      <c r="D17" s="2264"/>
      <c r="E17" s="2290" t="s">
        <v>730</v>
      </c>
      <c r="F17" s="2293" t="s">
        <v>801</v>
      </c>
      <c r="G17" s="2280" t="s">
        <v>570</v>
      </c>
      <c r="H17" s="1183"/>
      <c r="I17" s="1183"/>
      <c r="J17" s="4521"/>
      <c r="K17" s="4521"/>
      <c r="L17" s="4521"/>
      <c r="M17" s="4521"/>
      <c r="N17" s="915" t="s">
        <v>802</v>
      </c>
      <c r="O17" s="1169"/>
      <c r="AJ17" s="2257">
        <v>34</v>
      </c>
    </row>
    <row customHeight="1" ht="19.95">
      <c r="D18" s="2264"/>
      <c r="E18" s="2290" t="s">
        <v>733</v>
      </c>
      <c r="F18" s="2294" t="s">
        <v>803</v>
      </c>
      <c r="G18" s="2280" t="s">
        <v>570</v>
      </c>
      <c r="H18" s="1183"/>
      <c r="I18" s="1183"/>
      <c r="J18" s="4521"/>
      <c r="K18" s="4521"/>
      <c r="L18" s="4521"/>
      <c r="M18" s="4521"/>
      <c r="N18" s="915"/>
      <c r="O18" s="1169"/>
      <c r="AJ18" s="2257">
        <v>19</v>
      </c>
    </row>
    <row customHeight="1" ht="24">
      <c r="D19" s="2264"/>
      <c r="E19" s="2290" t="s">
        <v>736</v>
      </c>
      <c r="F19" s="2294" t="s">
        <v>804</v>
      </c>
      <c r="G19" s="2280" t="s">
        <v>570</v>
      </c>
      <c r="H19" s="1183"/>
      <c r="I19" s="1183"/>
      <c r="J19" s="4521"/>
      <c r="K19" s="4521"/>
      <c r="L19" s="4521"/>
      <c r="M19" s="4521"/>
      <c r="N19" s="915"/>
      <c r="O19" s="1169"/>
      <c r="AJ19" s="2257">
        <v>23</v>
      </c>
    </row>
    <row customHeight="1" ht="35.699999999999996">
      <c r="D20" s="2264"/>
      <c r="E20" s="2290" t="s">
        <v>325</v>
      </c>
      <c r="F20" s="2293" t="s">
        <v>805</v>
      </c>
      <c r="G20" s="2280" t="s">
        <v>570</v>
      </c>
      <c r="H20" s="1183"/>
      <c r="I20" s="1183"/>
      <c r="J20" s="4521"/>
      <c r="K20" s="4521"/>
      <c r="L20" s="4521"/>
      <c r="M20" s="4521"/>
      <c r="N20" s="915"/>
      <c r="O20" s="1169"/>
      <c r="AJ20" s="2257">
        <v>34</v>
      </c>
    </row>
    <row customHeight="1" ht="48.29999999999999">
      <c r="D21" s="2264"/>
      <c r="E21" s="2290" t="s">
        <v>328</v>
      </c>
      <c r="F21" s="2293" t="s">
        <v>806</v>
      </c>
      <c r="G21" s="2280" t="s">
        <v>570</v>
      </c>
      <c r="H21" s="1183"/>
      <c r="I21" s="1183"/>
      <c r="J21" s="4521"/>
      <c r="K21" s="4521"/>
      <c r="L21" s="4521"/>
      <c r="M21" s="4521"/>
      <c r="N21" s="915"/>
      <c r="O21" s="1169"/>
      <c r="AJ21" s="2257">
        <v>46</v>
      </c>
    </row>
    <row customHeight="1" ht="60">
      <c r="D22" s="2264"/>
      <c r="E22" s="2290" t="s">
        <v>750</v>
      </c>
      <c r="F22" s="2293" t="s">
        <v>807</v>
      </c>
      <c r="G22" s="2280" t="s">
        <v>570</v>
      </c>
      <c r="H22" s="1183"/>
      <c r="I22" s="1183"/>
      <c r="J22" s="4521"/>
      <c r="K22" s="4521"/>
      <c r="L22" s="4521"/>
      <c r="M22" s="4521"/>
      <c r="N22" s="915"/>
      <c r="O22" s="1169"/>
      <c r="AJ22" s="2257">
        <v>57</v>
      </c>
    </row>
    <row customHeight="1" ht="35.699999999999996">
      <c r="D23" s="2264"/>
      <c r="E23" s="2290" t="s">
        <v>757</v>
      </c>
      <c r="F23" s="2293" t="s">
        <v>808</v>
      </c>
      <c r="G23" s="2280" t="s">
        <v>570</v>
      </c>
      <c r="H23" s="1183"/>
      <c r="I23" s="1183"/>
      <c r="J23" s="4521"/>
      <c r="K23" s="4521"/>
      <c r="L23" s="4521"/>
      <c r="M23" s="4521"/>
      <c r="N23" s="915"/>
      <c r="O23" s="1169"/>
      <c r="AJ23" s="2257">
        <v>34</v>
      </c>
    </row>
    <row customHeight="1" ht="35.699999999999996">
      <c r="D24" s="2264"/>
      <c r="E24" s="2290" t="s">
        <v>759</v>
      </c>
      <c r="F24" s="2293" t="s">
        <v>809</v>
      </c>
      <c r="G24" s="2280" t="s">
        <v>570</v>
      </c>
      <c r="H24" s="1183"/>
      <c r="I24" s="1183"/>
      <c r="J24" s="4521"/>
      <c r="K24" s="4521"/>
      <c r="L24" s="4521"/>
      <c r="M24" s="4521"/>
      <c r="N24" s="915"/>
      <c r="O24" s="1169"/>
      <c r="AJ24" s="2257">
        <v>34</v>
      </c>
    </row>
    <row customHeight="1" ht="24">
      <c r="D25" s="2264"/>
      <c r="E25" s="2290" t="s">
        <v>761</v>
      </c>
      <c r="F25" s="2293" t="s">
        <v>810</v>
      </c>
      <c r="G25" s="2280" t="s">
        <v>570</v>
      </c>
      <c r="H25" s="1183"/>
      <c r="I25" s="1183"/>
      <c r="J25" s="4521"/>
      <c r="K25" s="4521"/>
      <c r="L25" s="4521"/>
      <c r="M25" s="4521"/>
      <c r="N25" s="915"/>
      <c r="O25" s="1169"/>
      <c r="AJ25" s="2257">
        <v>23</v>
      </c>
    </row>
    <row customHeight="1" ht="76.5">
      <c r="D26" s="2264"/>
      <c r="E26" s="2290" t="s">
        <v>763</v>
      </c>
      <c r="F26" s="2293" t="s">
        <v>811</v>
      </c>
      <c r="G26" s="2280" t="s">
        <v>570</v>
      </c>
      <c r="H26" s="1183"/>
      <c r="I26" s="1183"/>
      <c r="J26" s="4521"/>
      <c r="K26" s="4521"/>
      <c r="L26" s="4521"/>
      <c r="M26" s="4521"/>
      <c r="N26" s="915"/>
      <c r="O26" s="1169"/>
      <c r="AJ26" s="2257">
        <v>73</v>
      </c>
    </row>
    <row s="34657" customFormat="1" customHeight="1" ht="35.699999999999996">
      <c r="A27" s="1613"/>
      <c r="C27" s="2262"/>
      <c r="D27" s="2264"/>
      <c r="E27" s="2255" t="s">
        <v>767</v>
      </c>
      <c r="F27" s="2254" t="s">
        <v>812</v>
      </c>
      <c r="G27" s="2281" t="s">
        <v>570</v>
      </c>
      <c r="H27" s="1205">
        <f>SUM(H28:H29)</f>
        <v>0</v>
      </c>
      <c r="I27" s="1205">
        <f>SUM(I28:I29)</f>
        <v>0</v>
      </c>
      <c r="J27" s="4561">
        <f>SUM(J28:J29)</f>
        <v>0</v>
      </c>
      <c r="K27" s="4561">
        <f>SUM(K28:K29)</f>
        <v>0</v>
      </c>
      <c r="L27" s="4561">
        <f>SUM(L28:L29)</f>
        <v>0</v>
      </c>
      <c r="M27" s="4561">
        <f>SUM(M28:M29)</f>
        <v>0</v>
      </c>
      <c r="N27" s="915" t="s">
        <v>765</v>
      </c>
      <c r="O27" s="1169"/>
      <c r="P27" s="2262"/>
      <c r="Q27" s="2262"/>
      <c r="V27" s="2262"/>
      <c r="Y27" s="1170"/>
      <c r="AE27" s="2258"/>
      <c r="AF27" s="2258"/>
      <c r="AG27" s="2258"/>
      <c r="AH27" s="2258"/>
      <c r="AI27" s="2258"/>
      <c r="AJ27" s="1786">
        <v>34</v>
      </c>
    </row>
    <row s="34658" customFormat="1" customHeight="1" ht="1.05">
      <c r="A28" s="1793"/>
      <c r="D28" s="1174"/>
      <c r="E28" s="1428" t="str">
        <f>E27&amp;".0"</f>
        <v>2.9.0</v>
      </c>
      <c r="F28" s="1617"/>
      <c r="G28" s="1177"/>
      <c r="H28" s="1618"/>
      <c r="I28" s="1618"/>
      <c r="J28" s="4564"/>
      <c r="K28" s="4564"/>
      <c r="L28" s="4564"/>
      <c r="M28" s="4564"/>
      <c r="N28" s="1619"/>
      <c r="AJ28" s="2262">
        <v>1</v>
      </c>
    </row>
    <row s="34657" customFormat="1" customHeight="1" ht="19.95">
      <c r="A29" s="1613"/>
      <c r="C29" s="2262"/>
      <c r="D29" s="2259"/>
      <c r="E29" s="1196"/>
      <c r="F29" s="2292" t="s">
        <v>595</v>
      </c>
      <c r="G29" s="1198"/>
      <c r="H29" s="1199"/>
      <c r="I29" s="1199"/>
      <c r="J29" s="4838"/>
      <c r="K29" s="4839"/>
      <c r="L29" s="4840"/>
      <c r="M29" s="4841"/>
      <c r="N29" s="927" t="s">
        <v>766</v>
      </c>
      <c r="O29" s="1169"/>
      <c r="P29" s="2262"/>
      <c r="Q29" s="2262"/>
      <c r="V29" s="2262"/>
      <c r="Y29" s="1170"/>
      <c r="AE29" s="2258"/>
      <c r="AF29" s="2258"/>
      <c r="AG29" s="2258"/>
      <c r="AH29" s="2258"/>
      <c r="AI29" s="2258"/>
      <c r="AJ29" s="1786">
        <v>19</v>
      </c>
    </row>
    <row s="34657" customFormat="1" customHeight="1" ht="24">
      <c r="A30" s="1613"/>
      <c r="C30" s="2262"/>
      <c r="D30" s="2264"/>
      <c r="E30" s="2290" t="s">
        <v>90</v>
      </c>
      <c r="F30" s="2287" t="s">
        <v>813</v>
      </c>
      <c r="G30" s="2280" t="s">
        <v>570</v>
      </c>
      <c r="H30" s="1183"/>
      <c r="I30" s="1183"/>
      <c r="J30" s="4521"/>
      <c r="K30" s="4521"/>
      <c r="L30" s="4521"/>
      <c r="M30" s="4521"/>
      <c r="N30" s="915"/>
      <c r="O30" s="1169"/>
      <c r="P30" s="2262"/>
      <c r="Q30" s="2262"/>
      <c r="V30" s="2262"/>
      <c r="Y30" s="1170"/>
      <c r="AE30" s="2258"/>
      <c r="AF30" s="2258"/>
      <c r="AG30" s="2258"/>
      <c r="AH30" s="2258"/>
      <c r="AI30" s="2258"/>
      <c r="AJ30" s="1786">
        <v>23</v>
      </c>
    </row>
    <row s="34657" customFormat="1" customHeight="1" ht="35.699999999999996">
      <c r="A31" s="1613"/>
      <c r="C31" s="2262"/>
      <c r="D31" s="1201"/>
      <c r="E31" s="2290" t="s">
        <v>91</v>
      </c>
      <c r="F31" s="2287" t="s">
        <v>814</v>
      </c>
      <c r="G31" s="2280" t="s">
        <v>570</v>
      </c>
      <c r="H31" s="1183"/>
      <c r="I31" s="1183"/>
      <c r="J31" s="4521"/>
      <c r="K31" s="4521"/>
      <c r="L31" s="4521"/>
      <c r="M31" s="4521"/>
      <c r="N31" s="915" t="s">
        <v>815</v>
      </c>
      <c r="O31" s="1169"/>
      <c r="P31" s="2262"/>
      <c r="Q31" s="2262"/>
      <c r="V31" s="2262"/>
      <c r="Y31" s="1170"/>
      <c r="AE31" s="2258"/>
      <c r="AF31" s="2258"/>
      <c r="AG31" s="2258"/>
      <c r="AH31" s="2258"/>
      <c r="AI31" s="2258"/>
      <c r="AJ31" s="1786">
        <v>34</v>
      </c>
    </row>
    <row s="34657" customFormat="1" customHeight="1" ht="24">
      <c r="A32" s="1613"/>
      <c r="C32" s="2262"/>
      <c r="D32" s="2264"/>
      <c r="E32" s="2290" t="s">
        <v>775</v>
      </c>
      <c r="F32" s="1316" t="s">
        <v>779</v>
      </c>
      <c r="G32" s="2280" t="s">
        <v>570</v>
      </c>
      <c r="H32" s="1183"/>
      <c r="I32" s="1183"/>
      <c r="J32" s="4521"/>
      <c r="K32" s="4521"/>
      <c r="L32" s="4521"/>
      <c r="M32" s="4521"/>
      <c r="N32" s="915" t="s">
        <v>816</v>
      </c>
      <c r="O32" s="1169"/>
      <c r="P32" s="2262"/>
      <c r="Q32" s="2262"/>
      <c r="V32" s="2262"/>
      <c r="Y32" s="1170"/>
      <c r="AE32" s="2258"/>
      <c r="AF32" s="2258"/>
      <c r="AG32" s="2258"/>
      <c r="AH32" s="2258"/>
      <c r="AI32" s="2258"/>
      <c r="AJ32" s="1786">
        <v>23</v>
      </c>
    </row>
    <row s="34657" customFormat="1" customHeight="1" ht="24">
      <c r="A33" s="1613"/>
      <c r="C33" s="2262"/>
      <c r="D33" s="2264"/>
      <c r="E33" s="2290" t="s">
        <v>817</v>
      </c>
      <c r="F33" s="1316" t="s">
        <v>818</v>
      </c>
      <c r="G33" s="2280" t="s">
        <v>570</v>
      </c>
      <c r="H33" s="1183"/>
      <c r="I33" s="1183"/>
      <c r="J33" s="4521"/>
      <c r="K33" s="4521"/>
      <c r="L33" s="4521"/>
      <c r="M33" s="4521"/>
      <c r="N33" s="915" t="s">
        <v>819</v>
      </c>
      <c r="O33" s="1169"/>
      <c r="P33" s="2262"/>
      <c r="Q33" s="2262"/>
      <c r="V33" s="2262"/>
      <c r="Y33" s="1170"/>
      <c r="AE33" s="2258"/>
      <c r="AF33" s="2258"/>
      <c r="AG33" s="2258"/>
      <c r="AH33" s="2258"/>
      <c r="AI33" s="2258"/>
      <c r="AJ33" s="1786">
        <v>23</v>
      </c>
    </row>
    <row s="34657" customFormat="1" customHeight="1" ht="24">
      <c r="A34" s="1613"/>
      <c r="C34" s="2262"/>
      <c r="D34" s="2264"/>
      <c r="E34" s="2290" t="s">
        <v>820</v>
      </c>
      <c r="F34" s="1316" t="s">
        <v>785</v>
      </c>
      <c r="G34" s="2280" t="s">
        <v>570</v>
      </c>
      <c r="H34" s="1183"/>
      <c r="I34" s="1183"/>
      <c r="J34" s="4521"/>
      <c r="K34" s="4521"/>
      <c r="L34" s="4521"/>
      <c r="M34" s="4521"/>
      <c r="N34" s="915" t="s">
        <v>821</v>
      </c>
      <c r="O34" s="1169"/>
      <c r="P34" s="2262"/>
      <c r="Q34" s="2262"/>
      <c r="V34" s="2262"/>
      <c r="Y34" s="1170"/>
      <c r="AE34" s="2258"/>
      <c r="AF34" s="2258"/>
      <c r="AG34" s="2258"/>
      <c r="AH34" s="2258"/>
      <c r="AI34" s="2258"/>
      <c r="AJ34" s="1786">
        <v>23</v>
      </c>
    </row>
    <row s="34657" customFormat="1" customHeight="1" ht="35.699999999999996">
      <c r="A35" s="1613"/>
      <c r="C35" s="2262" t="s">
        <v>606</v>
      </c>
      <c r="D35" s="2264"/>
      <c r="E35" s="2290" t="s">
        <v>119</v>
      </c>
      <c r="F35" s="2287" t="s">
        <v>651</v>
      </c>
      <c r="G35" s="2283" t="s">
        <v>324</v>
      </c>
      <c r="H35" s="1027"/>
      <c r="I35" s="1027"/>
      <c r="J35" s="4637"/>
      <c r="K35" s="4637"/>
      <c r="L35" s="4637"/>
      <c r="M35" s="4637"/>
      <c r="N35" s="915" t="s">
        <v>822</v>
      </c>
      <c r="O35" s="1169"/>
      <c r="P35" s="2262"/>
      <c r="Q35" s="2262"/>
      <c r="V35" s="2262"/>
      <c r="Y35" s="1170"/>
      <c r="AE35" s="2258"/>
      <c r="AF35" s="2258"/>
      <c r="AG35" s="2258"/>
      <c r="AH35" s="2258"/>
      <c r="AI35" s="2258"/>
      <c r="AJ35" s="1786">
        <v>34</v>
      </c>
    </row>
    <row s="34657" customFormat="1" customHeight="1" ht="35.699999999999996">
      <c r="A36" s="1613"/>
      <c r="C36" s="2262"/>
      <c r="D36" s="2264"/>
      <c r="E36" s="2290" t="s">
        <v>92</v>
      </c>
      <c r="F36" s="2287" t="s">
        <v>823</v>
      </c>
      <c r="G36" s="2280" t="s">
        <v>790</v>
      </c>
      <c r="H36" s="1171"/>
      <c r="I36" s="1171"/>
      <c r="J36" s="4497"/>
      <c r="K36" s="4497"/>
      <c r="L36" s="4497"/>
      <c r="M36" s="4497"/>
      <c r="N36" s="915" t="s">
        <v>791</v>
      </c>
      <c r="O36" s="1169"/>
      <c r="P36" s="2262"/>
      <c r="Q36" s="2262"/>
      <c r="V36" s="2262"/>
      <c r="Y36" s="1170"/>
      <c r="AE36" s="2258"/>
      <c r="AF36" s="2258"/>
      <c r="AG36" s="2258"/>
      <c r="AH36" s="2258"/>
      <c r="AI36" s="2258"/>
      <c r="AJ36" s="1786">
        <v>34</v>
      </c>
    </row>
    <row s="34657" customFormat="1" customHeight="1" ht="24">
      <c r="A37" s="1613"/>
      <c r="C37" s="2262"/>
      <c r="D37" s="2264"/>
      <c r="E37" s="2290" t="s">
        <v>93</v>
      </c>
      <c r="F37" s="2287" t="s">
        <v>824</v>
      </c>
      <c r="G37" s="2280" t="s">
        <v>793</v>
      </c>
      <c r="H37" s="1171"/>
      <c r="I37" s="1171"/>
      <c r="J37" s="4497"/>
      <c r="K37" s="4497"/>
      <c r="L37" s="4497"/>
      <c r="M37" s="4497"/>
      <c r="N37" s="915" t="s">
        <v>794</v>
      </c>
      <c r="O37" s="1169"/>
      <c r="P37" s="2262"/>
      <c r="Q37" s="2262"/>
      <c r="V37" s="2262"/>
      <c r="Y37" s="1170"/>
      <c r="AE37" s="2258"/>
      <c r="AF37" s="2258"/>
      <c r="AG37" s="2258"/>
      <c r="AH37" s="2258"/>
      <c r="AI37" s="2258"/>
      <c r="AJ37" s="1786">
        <v>23</v>
      </c>
    </row>
    <row customHeight="1" ht="11.549999999999999">
      <c r="D38" s="2264"/>
      <c r="J38" s="4469"/>
      <c r="K38" s="4469"/>
      <c r="L38" s="4469"/>
      <c r="M38" s="4469"/>
      <c r="AJ38" s="2257">
        <v>11</v>
      </c>
    </row>
    <row customHeight="1" ht="27.299999999999997">
      <c r="D39" s="2264"/>
      <c r="E39" s="1879" t="s">
        <v>825</v>
      </c>
      <c r="F39" s="2911" t="s">
        <v>826</v>
      </c>
      <c r="G39" s="2911"/>
      <c r="H39" s="995"/>
      <c r="I39" s="995"/>
      <c r="J39" s="4640"/>
      <c r="K39" s="4640"/>
      <c r="L39" s="4640"/>
      <c r="M39" s="4640"/>
      <c r="N39" s="995"/>
      <c r="AJ39" s="2257">
        <v>26</v>
      </c>
    </row>
    <row s="35197" customFormat="1" customHeight="1" ht="39.75">
      <c r="A40" s="1613"/>
      <c r="B40" s="2262"/>
      <c r="C40" s="2262"/>
      <c r="D40" s="977"/>
      <c r="F40" s="2911" t="s">
        <v>827</v>
      </c>
      <c r="G40" s="2911"/>
      <c r="H40" s="995"/>
      <c r="I40" s="995"/>
      <c r="J40" s="4640"/>
      <c r="K40" s="4640"/>
      <c r="L40" s="4640"/>
      <c r="M40" s="4640"/>
      <c r="N40" s="995"/>
      <c r="O40" s="1786"/>
      <c r="P40" s="2262"/>
      <c r="Q40" s="2262"/>
      <c r="R40" s="1786"/>
      <c r="S40" s="1786"/>
      <c r="T40" s="1786"/>
      <c r="U40" s="1786"/>
      <c r="V40" s="2262"/>
      <c r="W40" s="1786"/>
      <c r="X40" s="1786"/>
      <c r="Y40" s="1170"/>
      <c r="Z40" s="1786"/>
      <c r="AA40" s="1786"/>
      <c r="AB40" s="1786"/>
      <c r="AC40" s="1786"/>
      <c r="AD40" s="1786"/>
      <c r="AE40" s="2258"/>
      <c r="AF40" s="1192"/>
      <c r="AG40" s="1192"/>
      <c r="AH40" s="1192"/>
      <c r="AI40" s="1192"/>
      <c r="AJ40" s="2267">
        <v>38</v>
      </c>
    </row>
    <row s="35197" customFormat="1" customHeight="1" ht="11.549999999999999">
      <c r="A41" s="1613"/>
      <c r="B41" s="2262"/>
      <c r="C41" s="2262"/>
      <c r="D41" s="977"/>
      <c r="J41" s="4642"/>
      <c r="K41" s="4642"/>
      <c r="L41" s="4642"/>
      <c r="M41" s="4642"/>
      <c r="O41" s="1786"/>
      <c r="P41" s="2262"/>
      <c r="Q41" s="2262"/>
      <c r="R41" s="1786"/>
      <c r="S41" s="1786"/>
      <c r="T41" s="1786"/>
      <c r="U41" s="1786"/>
      <c r="V41" s="2262"/>
      <c r="W41" s="1786"/>
      <c r="X41" s="1786"/>
      <c r="Y41" s="1170"/>
      <c r="Z41" s="1786"/>
      <c r="AA41" s="1786"/>
      <c r="AB41" s="1786"/>
      <c r="AC41" s="1786"/>
      <c r="AD41" s="1786"/>
      <c r="AE41" s="2258"/>
      <c r="AF41" s="1192"/>
      <c r="AG41" s="1192"/>
      <c r="AH41" s="1192"/>
      <c r="AI41" s="1192"/>
      <c r="AJ41" s="2267">
        <v>11</v>
      </c>
    </row>
    <row s="35197" customFormat="1" customHeight="1" ht="11.549999999999999">
      <c r="A42" s="1613"/>
      <c r="B42" s="2262"/>
      <c r="C42" s="2262"/>
      <c r="D42" s="977"/>
      <c r="J42" s="4642"/>
      <c r="K42" s="4642"/>
      <c r="L42" s="4642"/>
      <c r="M42" s="4642"/>
      <c r="O42" s="1786"/>
      <c r="P42" s="2262"/>
      <c r="Q42" s="2262"/>
      <c r="R42" s="1786"/>
      <c r="S42" s="1786"/>
      <c r="T42" s="1786"/>
      <c r="U42" s="1786"/>
      <c r="V42" s="2262"/>
      <c r="W42" s="1786"/>
      <c r="X42" s="1786"/>
      <c r="Y42" s="1170"/>
      <c r="Z42" s="1786"/>
      <c r="AA42" s="1786"/>
      <c r="AB42" s="1786"/>
      <c r="AC42" s="1786"/>
      <c r="AD42" s="1786"/>
      <c r="AE42" s="2258"/>
      <c r="AF42" s="1192"/>
      <c r="AG42" s="1192"/>
      <c r="AH42" s="1192"/>
      <c r="AI42" s="1192"/>
      <c r="AJ42" s="2267">
        <v>11</v>
      </c>
    </row>
    <row s="35197" customFormat="1" customHeight="1" ht="11.549999999999999">
      <c r="A43" s="1613"/>
      <c r="B43" s="2262"/>
      <c r="C43" s="2262"/>
      <c r="D43" s="977"/>
      <c r="H43" s="1192"/>
      <c r="I43" s="1192"/>
      <c r="J43" s="4643"/>
      <c r="K43" s="4643"/>
      <c r="L43" s="4643"/>
      <c r="M43" s="4643"/>
      <c r="O43" s="1786"/>
      <c r="P43" s="2262"/>
      <c r="Q43" s="2262"/>
      <c r="R43" s="1786"/>
      <c r="S43" s="1786"/>
      <c r="T43" s="1786"/>
      <c r="U43" s="1786"/>
      <c r="V43" s="2262"/>
      <c r="W43" s="1786"/>
      <c r="X43" s="1786"/>
      <c r="Y43" s="1170"/>
      <c r="Z43" s="1786"/>
      <c r="AA43" s="1786"/>
      <c r="AB43" s="1786"/>
      <c r="AC43" s="1786"/>
      <c r="AD43" s="1786"/>
      <c r="AE43" s="2258"/>
      <c r="AF43" s="1192"/>
      <c r="AG43" s="1192"/>
      <c r="AH43" s="1192"/>
      <c r="AI43" s="1192"/>
      <c r="AJ43" s="2267">
        <v>11</v>
      </c>
    </row>
    <row s="35197" customFormat="1" customHeight="1" ht="11.549999999999999">
      <c r="A44" s="1613"/>
      <c r="B44" s="2262"/>
      <c r="C44" s="2262"/>
      <c r="D44" s="977"/>
      <c r="J44" s="4642"/>
      <c r="K44" s="4642"/>
      <c r="L44" s="4642"/>
      <c r="M44" s="4642"/>
      <c r="O44" s="1786"/>
      <c r="P44" s="2262"/>
      <c r="Q44" s="2262"/>
      <c r="R44" s="1786"/>
      <c r="S44" s="1786"/>
      <c r="T44" s="1786"/>
      <c r="U44" s="1786"/>
      <c r="V44" s="2262"/>
      <c r="W44" s="1786"/>
      <c r="X44" s="1786"/>
      <c r="Y44" s="1170"/>
      <c r="Z44" s="1786"/>
      <c r="AA44" s="1786"/>
      <c r="AB44" s="1786"/>
      <c r="AC44" s="1786"/>
      <c r="AD44" s="1786"/>
      <c r="AE44" s="2258"/>
      <c r="AF44" s="1192"/>
      <c r="AG44" s="1192"/>
      <c r="AH44" s="1192"/>
      <c r="AI44" s="1192"/>
      <c r="AJ44" s="2267">
        <v>11</v>
      </c>
    </row>
    <row s="35197" customFormat="1" customHeight="1" ht="11.549999999999999">
      <c r="A45" s="1613"/>
      <c r="B45" s="2262"/>
      <c r="C45" s="2262"/>
      <c r="D45" s="977"/>
      <c r="J45" s="4642"/>
      <c r="K45" s="4642"/>
      <c r="L45" s="4642"/>
      <c r="M45" s="4642"/>
      <c r="O45" s="1786"/>
      <c r="P45" s="2262"/>
      <c r="Q45" s="2262"/>
      <c r="R45" s="1786"/>
      <c r="S45" s="1786"/>
      <c r="T45" s="1786"/>
      <c r="U45" s="1786"/>
      <c r="V45" s="2262"/>
      <c r="W45" s="1786"/>
      <c r="X45" s="1786"/>
      <c r="Y45" s="1170"/>
      <c r="Z45" s="1786"/>
      <c r="AA45" s="1786"/>
      <c r="AB45" s="1786"/>
      <c r="AC45" s="1786"/>
      <c r="AD45" s="1786"/>
      <c r="AE45" s="2258"/>
      <c r="AF45" s="1192"/>
      <c r="AG45" s="1192"/>
      <c r="AH45" s="1192"/>
      <c r="AI45" s="1192"/>
      <c r="AJ45" s="2267">
        <v>11</v>
      </c>
    </row>
    <row s="35197" customFormat="1" customHeight="1" ht="11.549999999999999">
      <c r="A46" s="1613"/>
      <c r="B46" s="2262"/>
      <c r="C46" s="2262"/>
      <c r="D46" s="977"/>
      <c r="J46" s="4642"/>
      <c r="K46" s="4642"/>
      <c r="L46" s="4642"/>
      <c r="M46" s="4642"/>
      <c r="O46" s="1786"/>
      <c r="P46" s="2262"/>
      <c r="Q46" s="2262"/>
      <c r="R46" s="1786"/>
      <c r="S46" s="1786"/>
      <c r="T46" s="1786"/>
      <c r="U46" s="1786"/>
      <c r="V46" s="2262"/>
      <c r="W46" s="1786"/>
      <c r="X46" s="1786"/>
      <c r="Y46" s="1170"/>
      <c r="Z46" s="1786"/>
      <c r="AA46" s="1786"/>
      <c r="AB46" s="1786"/>
      <c r="AC46" s="1786"/>
      <c r="AD46" s="1786"/>
      <c r="AE46" s="2258"/>
      <c r="AF46" s="1192"/>
      <c r="AG46" s="1192"/>
      <c r="AH46" s="1192"/>
      <c r="AI46" s="1192"/>
      <c r="AJ46" s="2267">
        <v>11</v>
      </c>
    </row>
    <row s="35197" customFormat="1" customHeight="1" ht="11.549999999999999">
      <c r="A47" s="1613"/>
      <c r="B47" s="2262"/>
      <c r="C47" s="2262"/>
      <c r="D47" s="977"/>
      <c r="J47" s="4642"/>
      <c r="K47" s="4642"/>
      <c r="L47" s="4642"/>
      <c r="M47" s="4642"/>
      <c r="O47" s="1786"/>
      <c r="P47" s="2262"/>
      <c r="Q47" s="2262"/>
      <c r="R47" s="1786"/>
      <c r="S47" s="1786"/>
      <c r="T47" s="1786"/>
      <c r="U47" s="1786"/>
      <c r="V47" s="2262"/>
      <c r="W47" s="1786"/>
      <c r="X47" s="1786"/>
      <c r="Y47" s="1170"/>
      <c r="Z47" s="1786"/>
      <c r="AA47" s="1786"/>
      <c r="AB47" s="1786"/>
      <c r="AC47" s="1786"/>
      <c r="AD47" s="1786"/>
      <c r="AE47" s="2258"/>
      <c r="AF47" s="1192"/>
      <c r="AG47" s="1192"/>
      <c r="AH47" s="1192"/>
      <c r="AI47" s="1192"/>
      <c r="AJ47" s="2267">
        <v>11</v>
      </c>
    </row>
    <row s="35197" customFormat="1" customHeight="1" ht="11.549999999999999">
      <c r="A48" s="1613"/>
      <c r="B48" s="2262"/>
      <c r="C48" s="2262"/>
      <c r="D48" s="977"/>
      <c r="J48" s="4642"/>
      <c r="K48" s="4642"/>
      <c r="L48" s="4642"/>
      <c r="M48" s="4642"/>
      <c r="O48" s="1786"/>
      <c r="P48" s="2262"/>
      <c r="Q48" s="2262"/>
      <c r="R48" s="1786"/>
      <c r="S48" s="1786"/>
      <c r="T48" s="1786"/>
      <c r="U48" s="1786"/>
      <c r="V48" s="2262"/>
      <c r="W48" s="1786"/>
      <c r="X48" s="1786"/>
      <c r="Y48" s="1170"/>
      <c r="Z48" s="1786"/>
      <c r="AA48" s="1786"/>
      <c r="AB48" s="1786"/>
      <c r="AC48" s="1786"/>
      <c r="AD48" s="1786"/>
      <c r="AE48" s="2258"/>
      <c r="AF48" s="1192"/>
      <c r="AG48" s="1192"/>
      <c r="AH48" s="1192"/>
      <c r="AI48" s="1192"/>
      <c r="AJ48" s="2267">
        <v>11</v>
      </c>
    </row>
    <row s="35197" customFormat="1" customHeight="1" ht="11.549999999999999">
      <c r="A49" s="1613"/>
      <c r="B49" s="2262"/>
      <c r="C49" s="2262"/>
      <c r="D49" s="977"/>
      <c r="J49" s="4642"/>
      <c r="K49" s="4642"/>
      <c r="L49" s="4642"/>
      <c r="M49" s="4642"/>
      <c r="O49" s="1786"/>
      <c r="P49" s="2262"/>
      <c r="Q49" s="2262"/>
      <c r="R49" s="1786"/>
      <c r="S49" s="1786"/>
      <c r="T49" s="1786"/>
      <c r="U49" s="1786"/>
      <c r="V49" s="2262"/>
      <c r="W49" s="1786"/>
      <c r="X49" s="1786"/>
      <c r="Y49" s="1170"/>
      <c r="Z49" s="1786"/>
      <c r="AA49" s="1786"/>
      <c r="AB49" s="1786"/>
      <c r="AC49" s="1786"/>
      <c r="AD49" s="1786"/>
      <c r="AE49" s="2258"/>
      <c r="AF49" s="1192"/>
      <c r="AG49" s="1192"/>
      <c r="AH49" s="1192"/>
      <c r="AI49" s="1192"/>
      <c r="AJ49" s="2267">
        <v>11</v>
      </c>
    </row>
    <row s="35197" customFormat="1" customHeight="1" ht="11.549999999999999">
      <c r="A50" s="1613"/>
      <c r="B50" s="2262"/>
      <c r="C50" s="2262"/>
      <c r="D50" s="977"/>
      <c r="J50" s="4642"/>
      <c r="K50" s="4642"/>
      <c r="L50" s="4642"/>
      <c r="M50" s="4642"/>
      <c r="O50" s="1786"/>
      <c r="P50" s="2262"/>
      <c r="Q50" s="2262"/>
      <c r="R50" s="1786"/>
      <c r="S50" s="1786"/>
      <c r="T50" s="1786"/>
      <c r="U50" s="1786"/>
      <c r="V50" s="2262"/>
      <c r="W50" s="1786"/>
      <c r="X50" s="1786"/>
      <c r="Y50" s="1170"/>
      <c r="Z50" s="1786"/>
      <c r="AA50" s="1786"/>
      <c r="AB50" s="1786"/>
      <c r="AC50" s="1786"/>
      <c r="AD50" s="1786"/>
      <c r="AE50" s="2258"/>
      <c r="AF50" s="1192"/>
      <c r="AG50" s="1192"/>
      <c r="AH50" s="1192"/>
      <c r="AI50" s="1192"/>
      <c r="AJ50" s="2267">
        <v>11</v>
      </c>
    </row>
    <row s="35197" customFormat="1" customHeight="1" ht="11.549999999999999">
      <c r="A51" s="1613"/>
      <c r="B51" s="2262"/>
      <c r="C51" s="2262"/>
      <c r="D51" s="977"/>
      <c r="J51" s="4642"/>
      <c r="K51" s="4642"/>
      <c r="L51" s="4642"/>
      <c r="M51" s="4642"/>
      <c r="O51" s="1786"/>
      <c r="P51" s="2262"/>
      <c r="Q51" s="2262"/>
      <c r="R51" s="1786"/>
      <c r="S51" s="1786"/>
      <c r="T51" s="1786"/>
      <c r="U51" s="1786"/>
      <c r="V51" s="2262"/>
      <c r="W51" s="1786"/>
      <c r="X51" s="1786"/>
      <c r="Y51" s="1170"/>
      <c r="Z51" s="1786"/>
      <c r="AA51" s="1786"/>
      <c r="AB51" s="1786"/>
      <c r="AC51" s="1786"/>
      <c r="AD51" s="1786"/>
      <c r="AE51" s="2258"/>
      <c r="AF51" s="1192"/>
      <c r="AG51" s="1192"/>
      <c r="AH51" s="1192"/>
      <c r="AI51" s="1192"/>
      <c r="AJ51" s="2267">
        <v>11</v>
      </c>
    </row>
    <row s="35197" customFormat="1" customHeight="1" ht="11.549999999999999">
      <c r="A52" s="1613"/>
      <c r="B52" s="2262"/>
      <c r="C52" s="2262"/>
      <c r="D52" s="977"/>
      <c r="J52" s="4642"/>
      <c r="K52" s="4642"/>
      <c r="L52" s="4642"/>
      <c r="M52" s="4642"/>
      <c r="O52" s="1786"/>
      <c r="P52" s="2262"/>
      <c r="Q52" s="2262"/>
      <c r="R52" s="1786"/>
      <c r="S52" s="1786"/>
      <c r="T52" s="1786"/>
      <c r="U52" s="1786"/>
      <c r="V52" s="2262"/>
      <c r="W52" s="1786"/>
      <c r="X52" s="1786"/>
      <c r="Y52" s="1170"/>
      <c r="Z52" s="1786"/>
      <c r="AA52" s="1786"/>
      <c r="AB52" s="1786"/>
      <c r="AC52" s="1786"/>
      <c r="AD52" s="1786"/>
      <c r="AE52" s="2258"/>
      <c r="AF52" s="1192"/>
      <c r="AG52" s="1192"/>
      <c r="AH52" s="1192"/>
      <c r="AI52" s="1192"/>
      <c r="AJ52" s="2267">
        <v>11</v>
      </c>
    </row>
    <row s="35197" customFormat="1" customHeight="1" ht="11.549999999999999">
      <c r="A53" s="1613"/>
      <c r="B53" s="2262"/>
      <c r="C53" s="2262"/>
      <c r="D53" s="977"/>
      <c r="J53" s="4642"/>
      <c r="K53" s="4642"/>
      <c r="L53" s="4642"/>
      <c r="M53" s="4642"/>
      <c r="O53" s="1786"/>
      <c r="P53" s="2262"/>
      <c r="Q53" s="2262"/>
      <c r="R53" s="1786"/>
      <c r="S53" s="1786"/>
      <c r="T53" s="1786"/>
      <c r="U53" s="1786"/>
      <c r="V53" s="2262"/>
      <c r="W53" s="1786"/>
      <c r="X53" s="1786"/>
      <c r="Y53" s="1170"/>
      <c r="Z53" s="1786"/>
      <c r="AA53" s="1786"/>
      <c r="AB53" s="1786"/>
      <c r="AC53" s="1786"/>
      <c r="AD53" s="1786"/>
      <c r="AE53" s="2258"/>
      <c r="AF53" s="1192"/>
      <c r="AG53" s="1192"/>
      <c r="AH53" s="1192"/>
      <c r="AI53" s="1192"/>
      <c r="AJ53" s="2267">
        <v>11</v>
      </c>
    </row>
    <row s="35197" customFormat="1" customHeight="1" ht="11.549999999999999">
      <c r="A54" s="1613"/>
      <c r="B54" s="2262"/>
      <c r="C54" s="2262"/>
      <c r="D54" s="977"/>
      <c r="J54" s="4642"/>
      <c r="K54" s="4642"/>
      <c r="L54" s="4642"/>
      <c r="M54" s="4642"/>
      <c r="O54" s="1786"/>
      <c r="P54" s="2262"/>
      <c r="Q54" s="2262"/>
      <c r="R54" s="1786"/>
      <c r="S54" s="1786"/>
      <c r="T54" s="1786"/>
      <c r="U54" s="1786"/>
      <c r="V54" s="2262"/>
      <c r="W54" s="1786"/>
      <c r="X54" s="1786"/>
      <c r="Y54" s="1170"/>
      <c r="Z54" s="1786"/>
      <c r="AA54" s="1786"/>
      <c r="AB54" s="1786"/>
      <c r="AC54" s="1786"/>
      <c r="AD54" s="1786"/>
      <c r="AE54" s="2258"/>
      <c r="AF54" s="1192"/>
      <c r="AG54" s="1192"/>
      <c r="AH54" s="1192"/>
      <c r="AI54" s="1192"/>
      <c r="AJ54" s="2267">
        <v>11</v>
      </c>
    </row>
    <row s="35197" customFormat="1" customHeight="1" ht="11.549999999999999">
      <c r="A55" s="1613"/>
      <c r="B55" s="2262"/>
      <c r="C55" s="2262"/>
      <c r="D55" s="977"/>
      <c r="J55" s="4642"/>
      <c r="K55" s="4642"/>
      <c r="L55" s="4642"/>
      <c r="M55" s="4642"/>
      <c r="O55" s="1786"/>
      <c r="P55" s="2262"/>
      <c r="Q55" s="2262"/>
      <c r="R55" s="1786"/>
      <c r="S55" s="1786"/>
      <c r="T55" s="1786"/>
      <c r="U55" s="1786"/>
      <c r="V55" s="2262"/>
      <c r="W55" s="1786"/>
      <c r="X55" s="1786"/>
      <c r="Y55" s="1170"/>
      <c r="Z55" s="1786"/>
      <c r="AA55" s="1786"/>
      <c r="AB55" s="1786"/>
      <c r="AC55" s="1786"/>
      <c r="AD55" s="1786"/>
      <c r="AE55" s="2258"/>
      <c r="AF55" s="1192"/>
      <c r="AG55" s="1192"/>
      <c r="AH55" s="1192"/>
      <c r="AI55" s="1192"/>
      <c r="AJ55" s="2267">
        <v>11</v>
      </c>
    </row>
    <row s="35197" customFormat="1" customHeight="1" ht="11.549999999999999">
      <c r="A56" s="1613"/>
      <c r="B56" s="2262"/>
      <c r="C56" s="2262"/>
      <c r="D56" s="977"/>
      <c r="J56" s="4642"/>
      <c r="K56" s="4642"/>
      <c r="L56" s="4642"/>
      <c r="M56" s="4642"/>
      <c r="O56" s="1786"/>
      <c r="P56" s="2262"/>
      <c r="Q56" s="2262"/>
      <c r="R56" s="1786"/>
      <c r="S56" s="1786"/>
      <c r="T56" s="1786"/>
      <c r="U56" s="1786"/>
      <c r="V56" s="2262"/>
      <c r="W56" s="1786"/>
      <c r="X56" s="1786"/>
      <c r="Y56" s="1170"/>
      <c r="Z56" s="1786"/>
      <c r="AA56" s="1786"/>
      <c r="AB56" s="1786"/>
      <c r="AC56" s="1786"/>
      <c r="AD56" s="1786"/>
      <c r="AE56" s="2258"/>
      <c r="AF56" s="1192"/>
      <c r="AG56" s="1192"/>
      <c r="AH56" s="1192"/>
      <c r="AI56" s="1192"/>
      <c r="AJ56" s="2267">
        <v>11</v>
      </c>
    </row>
    <row s="35197" customFormat="1" customHeight="1" ht="11.549999999999999">
      <c r="A57" s="1613"/>
      <c r="B57" s="2262"/>
      <c r="C57" s="2262"/>
      <c r="D57" s="977"/>
      <c r="J57" s="4642"/>
      <c r="K57" s="4642"/>
      <c r="L57" s="4642"/>
      <c r="M57" s="4642"/>
      <c r="O57" s="1786"/>
      <c r="P57" s="2262"/>
      <c r="Q57" s="2262"/>
      <c r="R57" s="1786"/>
      <c r="S57" s="1786"/>
      <c r="T57" s="1786"/>
      <c r="U57" s="1786"/>
      <c r="V57" s="2262"/>
      <c r="W57" s="1786"/>
      <c r="X57" s="1786"/>
      <c r="Y57" s="1170"/>
      <c r="Z57" s="1786"/>
      <c r="AA57" s="1786"/>
      <c r="AB57" s="1786"/>
      <c r="AC57" s="1786"/>
      <c r="AD57" s="1786"/>
      <c r="AE57" s="2258"/>
      <c r="AF57" s="1192"/>
      <c r="AG57" s="1192"/>
      <c r="AH57" s="1192"/>
      <c r="AI57" s="1192"/>
      <c r="AJ57" s="2267">
        <v>11</v>
      </c>
    </row>
    <row s="35197" customFormat="1" customHeight="1" ht="11.549999999999999">
      <c r="A58" s="1613"/>
      <c r="B58" s="2262"/>
      <c r="C58" s="2262"/>
      <c r="D58" s="977"/>
      <c r="J58" s="4642"/>
      <c r="K58" s="4642"/>
      <c r="L58" s="4642"/>
      <c r="M58" s="4642"/>
      <c r="O58" s="1786"/>
      <c r="P58" s="2262"/>
      <c r="Q58" s="2262"/>
      <c r="R58" s="1786"/>
      <c r="S58" s="1786"/>
      <c r="T58" s="1786"/>
      <c r="U58" s="1786"/>
      <c r="V58" s="2262"/>
      <c r="W58" s="1786"/>
      <c r="X58" s="1786"/>
      <c r="Y58" s="1170"/>
      <c r="Z58" s="1786"/>
      <c r="AA58" s="1786"/>
      <c r="AB58" s="1786"/>
      <c r="AC58" s="1786"/>
      <c r="AD58" s="1786"/>
      <c r="AE58" s="2258"/>
      <c r="AF58" s="1192"/>
      <c r="AG58" s="1192"/>
      <c r="AH58" s="1192"/>
      <c r="AI58" s="1192"/>
      <c r="AJ58" s="2267">
        <v>11</v>
      </c>
    </row>
    <row s="35197" customFormat="1" customHeight="1" ht="11.549999999999999">
      <c r="A59" s="1613"/>
      <c r="B59" s="2262"/>
      <c r="C59" s="2262"/>
      <c r="D59" s="977"/>
      <c r="J59" s="4642"/>
      <c r="K59" s="4642"/>
      <c r="L59" s="4642"/>
      <c r="M59" s="4642"/>
      <c r="O59" s="1786"/>
      <c r="P59" s="2262"/>
      <c r="Q59" s="2262"/>
      <c r="R59" s="1786"/>
      <c r="S59" s="1786"/>
      <c r="T59" s="1786"/>
      <c r="U59" s="1786"/>
      <c r="V59" s="2262"/>
      <c r="W59" s="1786"/>
      <c r="X59" s="1786"/>
      <c r="Y59" s="1170"/>
      <c r="Z59" s="1786"/>
      <c r="AA59" s="1786"/>
      <c r="AB59" s="1786"/>
      <c r="AC59" s="1786"/>
      <c r="AD59" s="1786"/>
      <c r="AE59" s="2258"/>
      <c r="AF59" s="1192"/>
      <c r="AG59" s="1192"/>
      <c r="AH59" s="1192"/>
      <c r="AI59" s="1192"/>
      <c r="AJ59" s="2267">
        <v>11</v>
      </c>
    </row>
    <row s="35197" customFormat="1" customHeight="1" ht="11.549999999999999">
      <c r="A60" s="1613"/>
      <c r="B60" s="2262"/>
      <c r="C60" s="2262"/>
      <c r="D60" s="977"/>
      <c r="J60" s="4642"/>
      <c r="K60" s="4642"/>
      <c r="L60" s="4642"/>
      <c r="M60" s="4642"/>
      <c r="O60" s="1786"/>
      <c r="P60" s="2262"/>
      <c r="Q60" s="2262"/>
      <c r="R60" s="1786"/>
      <c r="S60" s="1786"/>
      <c r="T60" s="1786"/>
      <c r="U60" s="1786"/>
      <c r="V60" s="2262"/>
      <c r="W60" s="1786"/>
      <c r="X60" s="1786"/>
      <c r="Y60" s="1170"/>
      <c r="Z60" s="1786"/>
      <c r="AA60" s="1786"/>
      <c r="AB60" s="1786"/>
      <c r="AC60" s="1786"/>
      <c r="AD60" s="1786"/>
      <c r="AE60" s="2258"/>
      <c r="AF60" s="1192"/>
      <c r="AG60" s="1192"/>
      <c r="AH60" s="1192"/>
      <c r="AI60" s="1192"/>
      <c r="AJ60" s="2267">
        <v>11</v>
      </c>
    </row>
    <row s="35197" customFormat="1" customHeight="1" ht="11.549999999999999">
      <c r="A61" s="1613"/>
      <c r="B61" s="2262"/>
      <c r="C61" s="2262"/>
      <c r="D61" s="977"/>
      <c r="J61" s="4642"/>
      <c r="K61" s="4642"/>
      <c r="L61" s="4642"/>
      <c r="M61" s="4642"/>
      <c r="O61" s="1786"/>
      <c r="P61" s="2262"/>
      <c r="Q61" s="2262"/>
      <c r="R61" s="1786"/>
      <c r="S61" s="1786"/>
      <c r="T61" s="1786"/>
      <c r="U61" s="1786"/>
      <c r="V61" s="2262"/>
      <c r="W61" s="1786"/>
      <c r="X61" s="1786"/>
      <c r="Y61" s="1170"/>
      <c r="Z61" s="1786"/>
      <c r="AA61" s="1786"/>
      <c r="AB61" s="1786"/>
      <c r="AC61" s="1786"/>
      <c r="AD61" s="1786"/>
      <c r="AE61" s="2258"/>
      <c r="AF61" s="1192"/>
      <c r="AG61" s="1192"/>
      <c r="AH61" s="1192"/>
      <c r="AI61" s="1192"/>
      <c r="AJ61" s="2267">
        <v>11</v>
      </c>
    </row>
    <row s="35197" customFormat="1" customHeight="1" ht="11.549999999999999">
      <c r="A62" s="1613"/>
      <c r="B62" s="2262"/>
      <c r="C62" s="2262"/>
      <c r="D62" s="977"/>
      <c r="J62" s="4642"/>
      <c r="K62" s="4642"/>
      <c r="L62" s="4642"/>
      <c r="M62" s="4642"/>
      <c r="O62" s="1786"/>
      <c r="P62" s="2262"/>
      <c r="Q62" s="2262"/>
      <c r="R62" s="1786"/>
      <c r="S62" s="1786"/>
      <c r="T62" s="1786"/>
      <c r="U62" s="1786"/>
      <c r="V62" s="2262"/>
      <c r="W62" s="1786"/>
      <c r="X62" s="1786"/>
      <c r="Y62" s="1170"/>
      <c r="Z62" s="1786"/>
      <c r="AA62" s="1786"/>
      <c r="AB62" s="1786"/>
      <c r="AC62" s="1786"/>
      <c r="AD62" s="1786"/>
      <c r="AE62" s="2258"/>
      <c r="AF62" s="1192"/>
      <c r="AG62" s="1192"/>
      <c r="AH62" s="1192"/>
      <c r="AI62" s="1192"/>
      <c r="AJ62" s="2267">
        <v>11</v>
      </c>
    </row>
    <row s="35197" customFormat="1" customHeight="1" ht="11.549999999999999">
      <c r="A63" s="1613"/>
      <c r="B63" s="2262"/>
      <c r="C63" s="2262"/>
      <c r="D63" s="977"/>
      <c r="J63" s="4642"/>
      <c r="K63" s="4642"/>
      <c r="L63" s="4642"/>
      <c r="M63" s="4642"/>
      <c r="O63" s="1786"/>
      <c r="P63" s="2262"/>
      <c r="Q63" s="2262"/>
      <c r="R63" s="1786"/>
      <c r="S63" s="1786"/>
      <c r="T63" s="1786"/>
      <c r="U63" s="1786"/>
      <c r="V63" s="2262"/>
      <c r="W63" s="1786"/>
      <c r="X63" s="1786"/>
      <c r="Y63" s="1170"/>
      <c r="Z63" s="1786"/>
      <c r="AA63" s="1786"/>
      <c r="AB63" s="1786"/>
      <c r="AC63" s="1786"/>
      <c r="AD63" s="1786"/>
      <c r="AE63" s="2258"/>
      <c r="AF63" s="1192"/>
      <c r="AG63" s="1192"/>
      <c r="AH63" s="1192"/>
      <c r="AI63" s="1192"/>
      <c r="AJ63" s="2267">
        <v>11</v>
      </c>
    </row>
    <row s="35197" customFormat="1" customHeight="1" ht="11.549999999999999">
      <c r="A64" s="1613"/>
      <c r="B64" s="2262"/>
      <c r="C64" s="2262"/>
      <c r="D64" s="977"/>
      <c r="J64" s="4642"/>
      <c r="K64" s="4642"/>
      <c r="L64" s="4642"/>
      <c r="M64" s="4642"/>
      <c r="O64" s="1786"/>
      <c r="P64" s="2262"/>
      <c r="Q64" s="2262"/>
      <c r="R64" s="1786"/>
      <c r="S64" s="1786"/>
      <c r="T64" s="1786"/>
      <c r="U64" s="1786"/>
      <c r="V64" s="2262"/>
      <c r="W64" s="1786"/>
      <c r="X64" s="1786"/>
      <c r="Y64" s="1170"/>
      <c r="Z64" s="1786"/>
      <c r="AA64" s="1786"/>
      <c r="AB64" s="1786"/>
      <c r="AC64" s="1786"/>
      <c r="AD64" s="1786"/>
      <c r="AE64" s="2258"/>
      <c r="AF64" s="1192"/>
      <c r="AG64" s="1192"/>
      <c r="AH64" s="1192"/>
      <c r="AI64" s="1192"/>
      <c r="AJ64" s="2267">
        <v>11</v>
      </c>
    </row>
    <row s="35197" customFormat="1" customHeight="1" ht="11.549999999999999">
      <c r="A65" s="1613"/>
      <c r="B65" s="2262"/>
      <c r="C65" s="2262"/>
      <c r="D65" s="977"/>
      <c r="J65" s="4642"/>
      <c r="K65" s="4642"/>
      <c r="L65" s="4642"/>
      <c r="M65" s="4642"/>
      <c r="O65" s="1786"/>
      <c r="P65" s="2262"/>
      <c r="Q65" s="2262"/>
      <c r="R65" s="1786"/>
      <c r="S65" s="1786"/>
      <c r="T65" s="1786"/>
      <c r="U65" s="1786"/>
      <c r="V65" s="2262"/>
      <c r="W65" s="1786"/>
      <c r="X65" s="1786"/>
      <c r="Y65" s="1170"/>
      <c r="Z65" s="1786"/>
      <c r="AA65" s="1786"/>
      <c r="AB65" s="1786"/>
      <c r="AC65" s="1786"/>
      <c r="AD65" s="1786"/>
      <c r="AE65" s="2258"/>
      <c r="AF65" s="1192"/>
      <c r="AG65" s="1192"/>
      <c r="AH65" s="1192"/>
      <c r="AI65" s="1192"/>
      <c r="AJ65" s="2267">
        <v>11</v>
      </c>
    </row>
    <row s="35197" customFormat="1" customHeight="1" ht="11.549999999999999">
      <c r="A66" s="1613"/>
      <c r="B66" s="2262"/>
      <c r="C66" s="2262"/>
      <c r="D66" s="977"/>
      <c r="J66" s="4642"/>
      <c r="K66" s="4642"/>
      <c r="L66" s="4642"/>
      <c r="M66" s="4642"/>
      <c r="O66" s="1786"/>
      <c r="P66" s="2262"/>
      <c r="Q66" s="2262"/>
      <c r="R66" s="1786"/>
      <c r="S66" s="1786"/>
      <c r="T66" s="1786"/>
      <c r="U66" s="1786"/>
      <c r="V66" s="2262"/>
      <c r="W66" s="1786"/>
      <c r="X66" s="1786"/>
      <c r="Y66" s="1170"/>
      <c r="Z66" s="1786"/>
      <c r="AA66" s="1786"/>
      <c r="AB66" s="1786"/>
      <c r="AC66" s="1786"/>
      <c r="AD66" s="1786"/>
      <c r="AE66" s="2258"/>
      <c r="AF66" s="1192"/>
      <c r="AG66" s="1192"/>
      <c r="AH66" s="1192"/>
      <c r="AI66" s="1192"/>
      <c r="AJ66" s="2267">
        <v>11</v>
      </c>
    </row>
    <row s="35197" customFormat="1" customHeight="1" ht="11.549999999999999">
      <c r="A67" s="1613"/>
      <c r="B67" s="2262"/>
      <c r="C67" s="2262"/>
      <c r="D67" s="977"/>
      <c r="J67" s="4642"/>
      <c r="K67" s="4642"/>
      <c r="L67" s="4642"/>
      <c r="M67" s="4642"/>
      <c r="O67" s="1786"/>
      <c r="P67" s="2262"/>
      <c r="Q67" s="2262"/>
      <c r="R67" s="1786"/>
      <c r="S67" s="1786"/>
      <c r="T67" s="1786"/>
      <c r="U67" s="1786"/>
      <c r="V67" s="2262"/>
      <c r="W67" s="1786"/>
      <c r="X67" s="1786"/>
      <c r="Y67" s="1170"/>
      <c r="Z67" s="1786"/>
      <c r="AA67" s="1786"/>
      <c r="AB67" s="1786"/>
      <c r="AC67" s="1786"/>
      <c r="AD67" s="1786"/>
      <c r="AE67" s="2258"/>
      <c r="AF67" s="1192"/>
      <c r="AG67" s="1192"/>
      <c r="AH67" s="1192"/>
      <c r="AI67" s="1192"/>
      <c r="AJ67" s="2267">
        <v>11</v>
      </c>
    </row>
    <row s="35197" customFormat="1" customHeight="1" ht="11.549999999999999">
      <c r="A68" s="1613"/>
      <c r="B68" s="2262"/>
      <c r="C68" s="2262"/>
      <c r="D68" s="977"/>
      <c r="J68" s="4642"/>
      <c r="K68" s="4642"/>
      <c r="L68" s="4642"/>
      <c r="M68" s="4642"/>
      <c r="O68" s="1786"/>
      <c r="P68" s="2262"/>
      <c r="Q68" s="2262"/>
      <c r="R68" s="1786"/>
      <c r="S68" s="1786"/>
      <c r="T68" s="1786"/>
      <c r="U68" s="1786"/>
      <c r="V68" s="2262"/>
      <c r="W68" s="1786"/>
      <c r="X68" s="1786"/>
      <c r="Y68" s="1170"/>
      <c r="Z68" s="1786"/>
      <c r="AA68" s="1786"/>
      <c r="AB68" s="1786"/>
      <c r="AC68" s="1786"/>
      <c r="AD68" s="1786"/>
      <c r="AE68" s="2258"/>
      <c r="AF68" s="1192"/>
      <c r="AG68" s="1192"/>
      <c r="AH68" s="1192"/>
      <c r="AI68" s="1192"/>
      <c r="AJ68" s="2267">
        <v>11</v>
      </c>
    </row>
    <row s="35197" customFormat="1" customHeight="1" ht="11.549999999999999">
      <c r="A69" s="1613"/>
      <c r="B69" s="2262"/>
      <c r="C69" s="2262"/>
      <c r="D69" s="977"/>
      <c r="J69" s="4642"/>
      <c r="K69" s="4642"/>
      <c r="L69" s="4642"/>
      <c r="M69" s="4642"/>
      <c r="O69" s="1786"/>
      <c r="P69" s="2262"/>
      <c r="Q69" s="2262"/>
      <c r="R69" s="1786"/>
      <c r="S69" s="1786"/>
      <c r="T69" s="1786"/>
      <c r="U69" s="1786"/>
      <c r="V69" s="2262"/>
      <c r="W69" s="1786"/>
      <c r="X69" s="1786"/>
      <c r="Y69" s="1170"/>
      <c r="Z69" s="1786"/>
      <c r="AA69" s="1786"/>
      <c r="AB69" s="1786"/>
      <c r="AC69" s="1786"/>
      <c r="AD69" s="1786"/>
      <c r="AE69" s="2258"/>
      <c r="AF69" s="1192"/>
      <c r="AG69" s="1192"/>
      <c r="AH69" s="1192"/>
      <c r="AI69" s="1192"/>
      <c r="AJ69" s="2267">
        <v>11</v>
      </c>
    </row>
    <row s="35197" customFormat="1" customHeight="1" ht="11.549999999999999">
      <c r="A70" s="1613"/>
      <c r="B70" s="2262"/>
      <c r="C70" s="2262"/>
      <c r="D70" s="977"/>
      <c r="J70" s="4642"/>
      <c r="K70" s="4642"/>
      <c r="L70" s="4642"/>
      <c r="M70" s="4642"/>
      <c r="O70" s="1786"/>
      <c r="P70" s="2262"/>
      <c r="Q70" s="2262"/>
      <c r="R70" s="1786"/>
      <c r="S70" s="1786"/>
      <c r="T70" s="1786"/>
      <c r="U70" s="1786"/>
      <c r="V70" s="2262"/>
      <c r="W70" s="1786"/>
      <c r="X70" s="1786"/>
      <c r="Y70" s="1170"/>
      <c r="Z70" s="1786"/>
      <c r="AA70" s="1786"/>
      <c r="AB70" s="1786"/>
      <c r="AC70" s="1786"/>
      <c r="AD70" s="1786"/>
      <c r="AE70" s="2258"/>
      <c r="AF70" s="1192"/>
      <c r="AG70" s="1192"/>
      <c r="AH70" s="1192"/>
      <c r="AI70" s="1192"/>
      <c r="AJ70" s="2267">
        <v>11</v>
      </c>
    </row>
    <row s="35197" customFormat="1" customHeight="1" ht="11.549999999999999">
      <c r="A71" s="1613"/>
      <c r="B71" s="2262"/>
      <c r="C71" s="2262"/>
      <c r="D71" s="977"/>
      <c r="J71" s="4642"/>
      <c r="K71" s="4642"/>
      <c r="L71" s="4642"/>
      <c r="M71" s="4642"/>
      <c r="O71" s="1786"/>
      <c r="P71" s="2262"/>
      <c r="Q71" s="2262"/>
      <c r="R71" s="1786"/>
      <c r="S71" s="1786"/>
      <c r="T71" s="1786"/>
      <c r="U71" s="1786"/>
      <c r="V71" s="2262"/>
      <c r="W71" s="1786"/>
      <c r="X71" s="1786"/>
      <c r="Y71" s="1170"/>
      <c r="Z71" s="1786"/>
      <c r="AA71" s="1786"/>
      <c r="AB71" s="1786"/>
      <c r="AC71" s="1786"/>
      <c r="AD71" s="1786"/>
      <c r="AE71" s="2258"/>
      <c r="AF71" s="1192"/>
      <c r="AG71" s="1192"/>
      <c r="AH71" s="1192"/>
      <c r="AI71" s="1192"/>
      <c r="AJ71" s="2267">
        <v>11</v>
      </c>
    </row>
    <row s="35197" customFormat="1" customHeight="1" ht="11.549999999999999">
      <c r="A72" s="1613"/>
      <c r="B72" s="2262"/>
      <c r="C72" s="2262"/>
      <c r="D72" s="977"/>
      <c r="J72" s="4642"/>
      <c r="K72" s="4642"/>
      <c r="L72" s="4642"/>
      <c r="M72" s="4642"/>
      <c r="O72" s="1786"/>
      <c r="P72" s="2262"/>
      <c r="Q72" s="2262"/>
      <c r="R72" s="1786"/>
      <c r="S72" s="1786"/>
      <c r="T72" s="1786"/>
      <c r="U72" s="1786"/>
      <c r="V72" s="2262"/>
      <c r="W72" s="1786"/>
      <c r="X72" s="1786"/>
      <c r="Y72" s="1170"/>
      <c r="Z72" s="1786"/>
      <c r="AA72" s="1786"/>
      <c r="AB72" s="1786"/>
      <c r="AC72" s="1786"/>
      <c r="AD72" s="1786"/>
      <c r="AE72" s="2258"/>
      <c r="AF72" s="1192"/>
      <c r="AG72" s="1192"/>
      <c r="AH72" s="1192"/>
      <c r="AI72" s="1192"/>
      <c r="AJ72" s="2267">
        <v>11</v>
      </c>
    </row>
    <row s="35197" customFormat="1" customHeight="1" ht="11.549999999999999">
      <c r="A73" s="1613"/>
      <c r="B73" s="2262"/>
      <c r="C73" s="2262"/>
      <c r="D73" s="977"/>
      <c r="J73" s="4642"/>
      <c r="K73" s="4642"/>
      <c r="L73" s="4642"/>
      <c r="M73" s="4642"/>
      <c r="O73" s="1786"/>
      <c r="P73" s="2262"/>
      <c r="Q73" s="2262"/>
      <c r="R73" s="1786"/>
      <c r="S73" s="1786"/>
      <c r="T73" s="1786"/>
      <c r="U73" s="1786"/>
      <c r="V73" s="2262"/>
      <c r="W73" s="1786"/>
      <c r="X73" s="1786"/>
      <c r="Y73" s="1170"/>
      <c r="Z73" s="1786"/>
      <c r="AA73" s="1786"/>
      <c r="AB73" s="1786"/>
      <c r="AC73" s="1786"/>
      <c r="AD73" s="1786"/>
      <c r="AE73" s="2258"/>
      <c r="AF73" s="1192"/>
      <c r="AG73" s="1192"/>
      <c r="AH73" s="1192"/>
      <c r="AI73" s="1192"/>
      <c r="AJ73" s="2267">
        <v>11</v>
      </c>
    </row>
    <row s="35197" customFormat="1" customHeight="1" ht="11.549999999999999">
      <c r="A74" s="1613"/>
      <c r="B74" s="2262"/>
      <c r="C74" s="2262"/>
      <c r="D74" s="977"/>
      <c r="J74" s="4642"/>
      <c r="K74" s="4642"/>
      <c r="L74" s="4642"/>
      <c r="M74" s="4642"/>
      <c r="O74" s="1786"/>
      <c r="P74" s="2262"/>
      <c r="Q74" s="2262"/>
      <c r="R74" s="1786"/>
      <c r="S74" s="1786"/>
      <c r="T74" s="1786"/>
      <c r="U74" s="1786"/>
      <c r="V74" s="2262"/>
      <c r="W74" s="1786"/>
      <c r="X74" s="1786"/>
      <c r="Y74" s="1170"/>
      <c r="Z74" s="1786"/>
      <c r="AA74" s="1786"/>
      <c r="AB74" s="1786"/>
      <c r="AC74" s="1786"/>
      <c r="AD74" s="1786"/>
      <c r="AE74" s="2258"/>
      <c r="AF74" s="1192"/>
      <c r="AG74" s="1192"/>
      <c r="AH74" s="1192"/>
      <c r="AI74" s="1192"/>
      <c r="AJ74" s="2267">
        <v>11</v>
      </c>
    </row>
    <row s="35197" customFormat="1" customHeight="1" ht="11.549999999999999">
      <c r="A75" s="1613"/>
      <c r="B75" s="2262"/>
      <c r="C75" s="2262"/>
      <c r="D75" s="977"/>
      <c r="J75" s="4642"/>
      <c r="K75" s="4642"/>
      <c r="L75" s="4642"/>
      <c r="M75" s="4642"/>
      <c r="O75" s="1786"/>
      <c r="P75" s="2262"/>
      <c r="Q75" s="2262"/>
      <c r="R75" s="1786"/>
      <c r="S75" s="1786"/>
      <c r="T75" s="1786"/>
      <c r="U75" s="1786"/>
      <c r="V75" s="2262"/>
      <c r="W75" s="1786"/>
      <c r="X75" s="1786"/>
      <c r="Y75" s="1170"/>
      <c r="Z75" s="1786"/>
      <c r="AA75" s="1786"/>
      <c r="AB75" s="1786"/>
      <c r="AC75" s="1786"/>
      <c r="AD75" s="1786"/>
      <c r="AE75" s="2258"/>
      <c r="AF75" s="1192"/>
      <c r="AG75" s="1192"/>
      <c r="AH75" s="1192"/>
      <c r="AI75" s="1192"/>
      <c r="AJ75" s="2267">
        <v>11</v>
      </c>
    </row>
    <row s="35197" customFormat="1" customHeight="1" ht="11.549999999999999">
      <c r="A76" s="1613"/>
      <c r="B76" s="2262"/>
      <c r="C76" s="2262"/>
      <c r="D76" s="977"/>
      <c r="J76" s="4642"/>
      <c r="K76" s="4642"/>
      <c r="L76" s="4642"/>
      <c r="M76" s="4642"/>
      <c r="O76" s="1786"/>
      <c r="P76" s="2262"/>
      <c r="Q76" s="2262"/>
      <c r="R76" s="1786"/>
      <c r="S76" s="1786"/>
      <c r="T76" s="1786"/>
      <c r="U76" s="1786"/>
      <c r="V76" s="2262"/>
      <c r="W76" s="1786"/>
      <c r="X76" s="1786"/>
      <c r="Y76" s="1170"/>
      <c r="Z76" s="1786"/>
      <c r="AA76" s="1786"/>
      <c r="AB76" s="1786"/>
      <c r="AC76" s="1786"/>
      <c r="AD76" s="1786"/>
      <c r="AE76" s="2258"/>
      <c r="AF76" s="1192"/>
      <c r="AG76" s="1192"/>
      <c r="AH76" s="1192"/>
      <c r="AI76" s="1192"/>
      <c r="AJ76" s="2267">
        <v>11</v>
      </c>
    </row>
    <row s="35197" customFormat="1" customHeight="1" ht="11.549999999999999">
      <c r="A77" s="1613"/>
      <c r="B77" s="2262"/>
      <c r="C77" s="2262"/>
      <c r="D77" s="977"/>
      <c r="J77" s="4642"/>
      <c r="K77" s="4642"/>
      <c r="L77" s="4642"/>
      <c r="M77" s="4642"/>
      <c r="O77" s="1786"/>
      <c r="P77" s="2262"/>
      <c r="Q77" s="2262"/>
      <c r="R77" s="1786"/>
      <c r="S77" s="1786"/>
      <c r="T77" s="1786"/>
      <c r="U77" s="1786"/>
      <c r="V77" s="2262"/>
      <c r="W77" s="1786"/>
      <c r="X77" s="1786"/>
      <c r="Y77" s="1170"/>
      <c r="Z77" s="1786"/>
      <c r="AA77" s="1786"/>
      <c r="AB77" s="1786"/>
      <c r="AC77" s="1786"/>
      <c r="AD77" s="1786"/>
      <c r="AE77" s="2258"/>
      <c r="AF77" s="1192"/>
      <c r="AG77" s="1192"/>
      <c r="AH77" s="1192"/>
      <c r="AI77" s="1192"/>
      <c r="AJ77" s="2267">
        <v>11</v>
      </c>
    </row>
    <row s="35197" customFormat="1" customHeight="1" ht="11.549999999999999">
      <c r="A78" s="1613"/>
      <c r="B78" s="2262"/>
      <c r="C78" s="2262"/>
      <c r="D78" s="977"/>
      <c r="J78" s="4642"/>
      <c r="K78" s="4642"/>
      <c r="L78" s="4642"/>
      <c r="M78" s="4642"/>
      <c r="O78" s="1786"/>
      <c r="P78" s="2262"/>
      <c r="Q78" s="2262"/>
      <c r="R78" s="1786"/>
      <c r="S78" s="1786"/>
      <c r="T78" s="1786"/>
      <c r="U78" s="1786"/>
      <c r="V78" s="2262"/>
      <c r="W78" s="1786"/>
      <c r="X78" s="1786"/>
      <c r="Y78" s="1170"/>
      <c r="Z78" s="1786"/>
      <c r="AA78" s="1786"/>
      <c r="AB78" s="1786"/>
      <c r="AC78" s="1786"/>
      <c r="AD78" s="1786"/>
      <c r="AE78" s="2258"/>
      <c r="AF78" s="1192"/>
      <c r="AG78" s="1192"/>
      <c r="AH78" s="1192"/>
      <c r="AI78" s="1192"/>
      <c r="AJ78" s="2267">
        <v>11</v>
      </c>
    </row>
    <row s="35197" customFormat="1" customHeight="1" ht="11.549999999999999">
      <c r="A79" s="1613"/>
      <c r="B79" s="2262"/>
      <c r="C79" s="2262"/>
      <c r="D79" s="977"/>
      <c r="J79" s="4642"/>
      <c r="K79" s="4642"/>
      <c r="L79" s="4642"/>
      <c r="M79" s="4642"/>
      <c r="O79" s="1786"/>
      <c r="P79" s="2262"/>
      <c r="Q79" s="2262"/>
      <c r="R79" s="1786"/>
      <c r="S79" s="1786"/>
      <c r="T79" s="1786"/>
      <c r="U79" s="1786"/>
      <c r="V79" s="2262"/>
      <c r="W79" s="1786"/>
      <c r="X79" s="1786"/>
      <c r="Y79" s="1170"/>
      <c r="Z79" s="1786"/>
      <c r="AA79" s="1786"/>
      <c r="AB79" s="1786"/>
      <c r="AC79" s="1786"/>
      <c r="AD79" s="1786"/>
      <c r="AE79" s="2258"/>
      <c r="AF79" s="1192"/>
      <c r="AG79" s="1192"/>
      <c r="AH79" s="1192"/>
      <c r="AI79" s="1192"/>
      <c r="AJ79" s="2267">
        <v>11</v>
      </c>
    </row>
    <row s="35197" customFormat="1" customHeight="1" ht="11.549999999999999">
      <c r="A80" s="1613"/>
      <c r="B80" s="2262"/>
      <c r="C80" s="2262"/>
      <c r="D80" s="977"/>
      <c r="J80" s="4642"/>
      <c r="K80" s="4642"/>
      <c r="L80" s="4642"/>
      <c r="M80" s="4642"/>
      <c r="O80" s="1786"/>
      <c r="P80" s="2262"/>
      <c r="Q80" s="2262"/>
      <c r="R80" s="1786"/>
      <c r="S80" s="1786"/>
      <c r="T80" s="1786"/>
      <c r="U80" s="1786"/>
      <c r="V80" s="2262"/>
      <c r="W80" s="1786"/>
      <c r="X80" s="1786"/>
      <c r="Y80" s="1170"/>
      <c r="Z80" s="1786"/>
      <c r="AA80" s="1786"/>
      <c r="AB80" s="1786"/>
      <c r="AC80" s="1786"/>
      <c r="AD80" s="1786"/>
      <c r="AE80" s="2258"/>
      <c r="AF80" s="1192"/>
      <c r="AG80" s="1192"/>
      <c r="AH80" s="1192"/>
      <c r="AI80" s="1192"/>
      <c r="AJ80" s="2267">
        <v>11</v>
      </c>
    </row>
    <row s="35197" customFormat="1" customHeight="1" ht="11.549999999999999">
      <c r="A81" s="1613"/>
      <c r="B81" s="2262"/>
      <c r="C81" s="2262"/>
      <c r="D81" s="977"/>
      <c r="J81" s="4642"/>
      <c r="K81" s="4642"/>
      <c r="L81" s="4642"/>
      <c r="M81" s="4642"/>
      <c r="O81" s="1786"/>
      <c r="P81" s="2262"/>
      <c r="Q81" s="2262"/>
      <c r="R81" s="1786"/>
      <c r="S81" s="1786"/>
      <c r="T81" s="1786"/>
      <c r="U81" s="1786"/>
      <c r="V81" s="2262"/>
      <c r="W81" s="1786"/>
      <c r="X81" s="1786"/>
      <c r="Y81" s="1170"/>
      <c r="Z81" s="1786"/>
      <c r="AA81" s="1786"/>
      <c r="AB81" s="1786"/>
      <c r="AC81" s="1786"/>
      <c r="AD81" s="1786"/>
      <c r="AE81" s="2258"/>
      <c r="AF81" s="1192"/>
      <c r="AG81" s="1192"/>
      <c r="AH81" s="1192"/>
      <c r="AI81" s="1192"/>
      <c r="AJ81" s="2267">
        <v>11</v>
      </c>
    </row>
    <row s="35197" customFormat="1" customHeight="1" ht="11.549999999999999">
      <c r="A82" s="1613"/>
      <c r="B82" s="2262"/>
      <c r="C82" s="2262"/>
      <c r="D82" s="977"/>
      <c r="J82" s="4642"/>
      <c r="K82" s="4642"/>
      <c r="L82" s="4642"/>
      <c r="M82" s="4642"/>
      <c r="O82" s="1786"/>
      <c r="P82" s="2262"/>
      <c r="Q82" s="2262"/>
      <c r="R82" s="1786"/>
      <c r="S82" s="1786"/>
      <c r="T82" s="1786"/>
      <c r="U82" s="1786"/>
      <c r="V82" s="2262"/>
      <c r="W82" s="1786"/>
      <c r="X82" s="1786"/>
      <c r="Y82" s="1170"/>
      <c r="Z82" s="1786"/>
      <c r="AA82" s="1786"/>
      <c r="AB82" s="1786"/>
      <c r="AC82" s="1786"/>
      <c r="AD82" s="1786"/>
      <c r="AE82" s="2258"/>
      <c r="AF82" s="1192"/>
      <c r="AG82" s="1192"/>
      <c r="AH82" s="1192"/>
      <c r="AI82" s="1192"/>
      <c r="AJ82" s="2267">
        <v>11</v>
      </c>
    </row>
    <row s="35197" customFormat="1" customHeight="1" ht="11.549999999999999">
      <c r="A83" s="1613"/>
      <c r="B83" s="2262"/>
      <c r="C83" s="2262"/>
      <c r="D83" s="977"/>
      <c r="J83" s="4642"/>
      <c r="K83" s="4642"/>
      <c r="L83" s="4642"/>
      <c r="M83" s="4642"/>
      <c r="O83" s="1786"/>
      <c r="P83" s="2262"/>
      <c r="Q83" s="2262"/>
      <c r="R83" s="1786"/>
      <c r="S83" s="1786"/>
      <c r="T83" s="1786"/>
      <c r="U83" s="1786"/>
      <c r="V83" s="2262"/>
      <c r="W83" s="1786"/>
      <c r="X83" s="1786"/>
      <c r="Y83" s="1170"/>
      <c r="Z83" s="1786"/>
      <c r="AA83" s="1786"/>
      <c r="AB83" s="1786"/>
      <c r="AC83" s="1786"/>
      <c r="AD83" s="1786"/>
      <c r="AE83" s="2258"/>
      <c r="AF83" s="1192"/>
      <c r="AG83" s="1192"/>
      <c r="AH83" s="1192"/>
      <c r="AI83" s="1192"/>
      <c r="AJ83" s="2267">
        <v>11</v>
      </c>
    </row>
    <row s="35197" customFormat="1" customHeight="1" ht="11.549999999999999">
      <c r="A84" s="1613"/>
      <c r="B84" s="2262"/>
      <c r="C84" s="2262"/>
      <c r="D84" s="977"/>
      <c r="J84" s="4642"/>
      <c r="K84" s="4642"/>
      <c r="L84" s="4642"/>
      <c r="M84" s="4642"/>
      <c r="O84" s="1786"/>
      <c r="P84" s="2262"/>
      <c r="Q84" s="2262"/>
      <c r="R84" s="1786"/>
      <c r="S84" s="1786"/>
      <c r="T84" s="1786"/>
      <c r="U84" s="1786"/>
      <c r="V84" s="2262"/>
      <c r="W84" s="1786"/>
      <c r="X84" s="1786"/>
      <c r="Y84" s="1170"/>
      <c r="Z84" s="1786"/>
      <c r="AA84" s="1786"/>
      <c r="AB84" s="1786"/>
      <c r="AC84" s="1786"/>
      <c r="AD84" s="1786"/>
      <c r="AE84" s="2258"/>
      <c r="AF84" s="1192"/>
      <c r="AG84" s="1192"/>
      <c r="AH84" s="1192"/>
      <c r="AI84" s="1192"/>
      <c r="AJ84" s="2267">
        <v>11</v>
      </c>
    </row>
    <row s="35197" customFormat="1" customHeight="1" ht="11.549999999999999">
      <c r="A85" s="1613"/>
      <c r="B85" s="2262"/>
      <c r="C85" s="2262"/>
      <c r="D85" s="977"/>
      <c r="J85" s="4642"/>
      <c r="K85" s="4642"/>
      <c r="L85" s="4642"/>
      <c r="M85" s="4642"/>
      <c r="O85" s="1786"/>
      <c r="P85" s="2262"/>
      <c r="Q85" s="2262"/>
      <c r="R85" s="1786"/>
      <c r="S85" s="1786"/>
      <c r="T85" s="1786"/>
      <c r="U85" s="1786"/>
      <c r="V85" s="2262"/>
      <c r="W85" s="1786"/>
      <c r="X85" s="1786"/>
      <c r="Y85" s="1170"/>
      <c r="Z85" s="1786"/>
      <c r="AA85" s="1786"/>
      <c r="AB85" s="1786"/>
      <c r="AC85" s="1786"/>
      <c r="AD85" s="1786"/>
      <c r="AE85" s="2258"/>
      <c r="AF85" s="1192"/>
      <c r="AG85" s="1192"/>
      <c r="AH85" s="1192"/>
      <c r="AI85" s="1192"/>
      <c r="AJ85" s="2267">
        <v>11</v>
      </c>
    </row>
    <row s="35197" customFormat="1" customHeight="1" ht="11.549999999999999">
      <c r="A86" s="1613"/>
      <c r="B86" s="2262"/>
      <c r="C86" s="2262"/>
      <c r="D86" s="977"/>
      <c r="J86" s="4642"/>
      <c r="K86" s="4642"/>
      <c r="L86" s="4642"/>
      <c r="M86" s="4642"/>
      <c r="O86" s="1786"/>
      <c r="P86" s="2262"/>
      <c r="Q86" s="2262"/>
      <c r="R86" s="1786"/>
      <c r="S86" s="1786"/>
      <c r="T86" s="1786"/>
      <c r="U86" s="1786"/>
      <c r="V86" s="2262"/>
      <c r="W86" s="1786"/>
      <c r="X86" s="1786"/>
      <c r="Y86" s="1170"/>
      <c r="Z86" s="1786"/>
      <c r="AA86" s="1786"/>
      <c r="AB86" s="1786"/>
      <c r="AC86" s="1786"/>
      <c r="AD86" s="1786"/>
      <c r="AE86" s="2258"/>
      <c r="AF86" s="1192"/>
      <c r="AG86" s="1192"/>
      <c r="AH86" s="1192"/>
      <c r="AI86" s="1192"/>
      <c r="AJ86" s="2267">
        <v>11</v>
      </c>
    </row>
    <row s="35197" customFormat="1" customHeight="1" ht="11.549999999999999">
      <c r="A87" s="1613"/>
      <c r="B87" s="2262"/>
      <c r="C87" s="2262"/>
      <c r="D87" s="977"/>
      <c r="J87" s="4642"/>
      <c r="K87" s="4642"/>
      <c r="L87" s="4642"/>
      <c r="M87" s="4642"/>
      <c r="O87" s="1786"/>
      <c r="P87" s="2262"/>
      <c r="Q87" s="2262"/>
      <c r="R87" s="1786"/>
      <c r="S87" s="1786"/>
      <c r="T87" s="1786"/>
      <c r="U87" s="1786"/>
      <c r="V87" s="2262"/>
      <c r="W87" s="1786"/>
      <c r="X87" s="1786"/>
      <c r="Y87" s="1170"/>
      <c r="Z87" s="1786"/>
      <c r="AA87" s="1786"/>
      <c r="AB87" s="1786"/>
      <c r="AC87" s="1786"/>
      <c r="AD87" s="1786"/>
      <c r="AE87" s="2258"/>
      <c r="AF87" s="1192"/>
      <c r="AG87" s="1192"/>
      <c r="AH87" s="1192"/>
      <c r="AI87" s="1192"/>
      <c r="AJ87" s="2267">
        <v>11</v>
      </c>
    </row>
    <row s="35197" customFormat="1" customHeight="1" ht="11.549999999999999">
      <c r="A88" s="1613"/>
      <c r="B88" s="2262"/>
      <c r="C88" s="2262"/>
      <c r="D88" s="977"/>
      <c r="J88" s="4642"/>
      <c r="K88" s="4642"/>
      <c r="L88" s="4642"/>
      <c r="M88" s="4642"/>
      <c r="O88" s="1786"/>
      <c r="P88" s="2262"/>
      <c r="Q88" s="2262"/>
      <c r="R88" s="1786"/>
      <c r="S88" s="1786"/>
      <c r="T88" s="1786"/>
      <c r="U88" s="1786"/>
      <c r="V88" s="2262"/>
      <c r="W88" s="1786"/>
      <c r="X88" s="1786"/>
      <c r="Y88" s="1170"/>
      <c r="Z88" s="1786"/>
      <c r="AA88" s="1786"/>
      <c r="AB88" s="1786"/>
      <c r="AC88" s="1786"/>
      <c r="AD88" s="1786"/>
      <c r="AE88" s="2258"/>
      <c r="AF88" s="1192"/>
      <c r="AG88" s="1192"/>
      <c r="AH88" s="1192"/>
      <c r="AI88" s="1192"/>
      <c r="AJ88" s="2267">
        <v>11</v>
      </c>
    </row>
    <row s="35197" customFormat="1" customHeight="1" ht="11.549999999999999">
      <c r="A89" s="1613"/>
      <c r="B89" s="2262"/>
      <c r="C89" s="2262"/>
      <c r="D89" s="977"/>
      <c r="J89" s="4642"/>
      <c r="K89" s="4642"/>
      <c r="L89" s="4642"/>
      <c r="M89" s="4642"/>
      <c r="O89" s="1786"/>
      <c r="P89" s="2262"/>
      <c r="Q89" s="2262"/>
      <c r="R89" s="1786"/>
      <c r="S89" s="1786"/>
      <c r="T89" s="1786"/>
      <c r="U89" s="1786"/>
      <c r="V89" s="2262"/>
      <c r="W89" s="1786"/>
      <c r="X89" s="1786"/>
      <c r="Y89" s="1170"/>
      <c r="Z89" s="1786"/>
      <c r="AA89" s="1786"/>
      <c r="AB89" s="1786"/>
      <c r="AC89" s="1786"/>
      <c r="AD89" s="1786"/>
      <c r="AE89" s="2258"/>
      <c r="AF89" s="1192"/>
      <c r="AG89" s="1192"/>
      <c r="AH89" s="1192"/>
      <c r="AI89" s="1192"/>
      <c r="AJ89" s="2267">
        <v>11</v>
      </c>
    </row>
    <row s="35197" customFormat="1" customHeight="1" ht="11.549999999999999">
      <c r="A90" s="1613"/>
      <c r="B90" s="2262"/>
      <c r="C90" s="2262"/>
      <c r="D90" s="977"/>
      <c r="J90" s="4642"/>
      <c r="K90" s="4642"/>
      <c r="L90" s="4642"/>
      <c r="M90" s="4642"/>
      <c r="O90" s="1786"/>
      <c r="P90" s="2262"/>
      <c r="Q90" s="2262"/>
      <c r="R90" s="1786"/>
      <c r="S90" s="1786"/>
      <c r="T90" s="1786"/>
      <c r="U90" s="1786"/>
      <c r="V90" s="2262"/>
      <c r="W90" s="1786"/>
      <c r="X90" s="1786"/>
      <c r="Y90" s="1170"/>
      <c r="Z90" s="1786"/>
      <c r="AA90" s="1786"/>
      <c r="AB90" s="1786"/>
      <c r="AC90" s="1786"/>
      <c r="AD90" s="1786"/>
      <c r="AE90" s="2258"/>
      <c r="AF90" s="1192"/>
      <c r="AG90" s="1192"/>
      <c r="AH90" s="1192"/>
      <c r="AI90" s="1192"/>
      <c r="AJ90" s="2267">
        <v>11</v>
      </c>
    </row>
    <row s="35197" customFormat="1" customHeight="1" ht="11.549999999999999">
      <c r="A91" s="1613"/>
      <c r="B91" s="2262"/>
      <c r="C91" s="2262"/>
      <c r="D91" s="977"/>
      <c r="J91" s="4642"/>
      <c r="K91" s="4642"/>
      <c r="L91" s="4642"/>
      <c r="M91" s="4642"/>
      <c r="O91" s="1786"/>
      <c r="P91" s="2262"/>
      <c r="Q91" s="2262"/>
      <c r="R91" s="1786"/>
      <c r="S91" s="1786"/>
      <c r="T91" s="1786"/>
      <c r="U91" s="1786"/>
      <c r="V91" s="2262"/>
      <c r="W91" s="1786"/>
      <c r="X91" s="1786"/>
      <c r="Y91" s="1170"/>
      <c r="Z91" s="1786"/>
      <c r="AA91" s="1786"/>
      <c r="AB91" s="1786"/>
      <c r="AC91" s="1786"/>
      <c r="AD91" s="1786"/>
      <c r="AE91" s="2258"/>
      <c r="AF91" s="1192"/>
      <c r="AG91" s="1192"/>
      <c r="AH91" s="1192"/>
      <c r="AI91" s="1192"/>
      <c r="AJ91" s="2267">
        <v>11</v>
      </c>
    </row>
    <row s="35197" customFormat="1" customHeight="1" ht="11.549999999999999">
      <c r="A92" s="1613"/>
      <c r="B92" s="2262"/>
      <c r="C92" s="2262"/>
      <c r="D92" s="977"/>
      <c r="J92" s="4642"/>
      <c r="K92" s="4642"/>
      <c r="L92" s="4642"/>
      <c r="M92" s="4642"/>
      <c r="O92" s="1786"/>
      <c r="P92" s="2262"/>
      <c r="Q92" s="2262"/>
      <c r="R92" s="1786"/>
      <c r="S92" s="1786"/>
      <c r="T92" s="1786"/>
      <c r="U92" s="1786"/>
      <c r="V92" s="2262"/>
      <c r="W92" s="1786"/>
      <c r="X92" s="1786"/>
      <c r="Y92" s="1170"/>
      <c r="Z92" s="1786"/>
      <c r="AA92" s="1786"/>
      <c r="AB92" s="1786"/>
      <c r="AC92" s="1786"/>
      <c r="AD92" s="1786"/>
      <c r="AE92" s="2258"/>
      <c r="AF92" s="1192"/>
      <c r="AG92" s="1192"/>
      <c r="AH92" s="1192"/>
      <c r="AI92" s="1192"/>
      <c r="AJ92" s="2267">
        <v>11</v>
      </c>
    </row>
    <row s="35197" customFormat="1" customHeight="1" ht="11.549999999999999">
      <c r="A93" s="1613"/>
      <c r="B93" s="2262"/>
      <c r="C93" s="2262"/>
      <c r="D93" s="977"/>
      <c r="J93" s="4642"/>
      <c r="K93" s="4642"/>
      <c r="L93" s="4642"/>
      <c r="M93" s="4642"/>
      <c r="O93" s="1786"/>
      <c r="P93" s="2262"/>
      <c r="Q93" s="2262"/>
      <c r="R93" s="1786"/>
      <c r="S93" s="1786"/>
      <c r="T93" s="1786"/>
      <c r="U93" s="1786"/>
      <c r="V93" s="2262"/>
      <c r="W93" s="1786"/>
      <c r="X93" s="1786"/>
      <c r="Y93" s="1170"/>
      <c r="Z93" s="1786"/>
      <c r="AA93" s="1786"/>
      <c r="AB93" s="1786"/>
      <c r="AC93" s="1786"/>
      <c r="AD93" s="1786"/>
      <c r="AE93" s="2258"/>
      <c r="AF93" s="1192"/>
      <c r="AG93" s="1192"/>
      <c r="AH93" s="1192"/>
      <c r="AI93" s="1192"/>
      <c r="AJ93" s="2267">
        <v>11</v>
      </c>
    </row>
    <row s="35197" customFormat="1" customHeight="1" ht="11.549999999999999">
      <c r="A94" s="1613"/>
      <c r="B94" s="2262"/>
      <c r="C94" s="2262"/>
      <c r="D94" s="977"/>
      <c r="J94" s="4642"/>
      <c r="K94" s="4642"/>
      <c r="L94" s="4642"/>
      <c r="M94" s="4642"/>
      <c r="O94" s="1786"/>
      <c r="P94" s="2262"/>
      <c r="Q94" s="2262"/>
      <c r="R94" s="1786"/>
      <c r="S94" s="1786"/>
      <c r="T94" s="1786"/>
      <c r="U94" s="1786"/>
      <c r="V94" s="2262"/>
      <c r="W94" s="1786"/>
      <c r="X94" s="1786"/>
      <c r="Y94" s="1170"/>
      <c r="Z94" s="1786"/>
      <c r="AA94" s="1786"/>
      <c r="AB94" s="1786"/>
      <c r="AC94" s="1786"/>
      <c r="AD94" s="1786"/>
      <c r="AE94" s="2258"/>
      <c r="AF94" s="1192"/>
      <c r="AG94" s="1192"/>
      <c r="AH94" s="1192"/>
      <c r="AI94" s="1192"/>
      <c r="AJ94" s="2267">
        <v>11</v>
      </c>
    </row>
    <row s="35197" customFormat="1" customHeight="1" ht="11.549999999999999">
      <c r="A95" s="1613"/>
      <c r="B95" s="2262"/>
      <c r="C95" s="2262"/>
      <c r="D95" s="977"/>
      <c r="J95" s="4642"/>
      <c r="K95" s="4642"/>
      <c r="L95" s="4642"/>
      <c r="M95" s="4642"/>
      <c r="O95" s="1786"/>
      <c r="P95" s="2262"/>
      <c r="Q95" s="2262"/>
      <c r="R95" s="1786"/>
      <c r="S95" s="1786"/>
      <c r="T95" s="1786"/>
      <c r="U95" s="1786"/>
      <c r="V95" s="2262"/>
      <c r="W95" s="1786"/>
      <c r="X95" s="1786"/>
      <c r="Y95" s="1170"/>
      <c r="Z95" s="1786"/>
      <c r="AA95" s="1786"/>
      <c r="AB95" s="1786"/>
      <c r="AC95" s="1786"/>
      <c r="AD95" s="1786"/>
      <c r="AE95" s="2258"/>
      <c r="AF95" s="1192"/>
      <c r="AG95" s="1192"/>
      <c r="AH95" s="1192"/>
      <c r="AI95" s="1192"/>
      <c r="AJ95" s="2267">
        <v>11</v>
      </c>
    </row>
    <row s="35197" customFormat="1" customHeight="1" ht="11.549999999999999">
      <c r="A96" s="1613"/>
      <c r="B96" s="2262"/>
      <c r="C96" s="2262"/>
      <c r="D96" s="977"/>
      <c r="J96" s="4642"/>
      <c r="K96" s="4642"/>
      <c r="L96" s="4642"/>
      <c r="M96" s="4642"/>
      <c r="O96" s="1786"/>
      <c r="P96" s="2262"/>
      <c r="Q96" s="2262"/>
      <c r="R96" s="1786"/>
      <c r="S96" s="1786"/>
      <c r="T96" s="1786"/>
      <c r="U96" s="1786"/>
      <c r="V96" s="2262"/>
      <c r="W96" s="1786"/>
      <c r="X96" s="1786"/>
      <c r="Y96" s="1170"/>
      <c r="Z96" s="1786"/>
      <c r="AA96" s="1786"/>
      <c r="AB96" s="1786"/>
      <c r="AC96" s="1786"/>
      <c r="AD96" s="1786"/>
      <c r="AE96" s="2258"/>
      <c r="AF96" s="1192"/>
      <c r="AG96" s="1192"/>
      <c r="AH96" s="1192"/>
      <c r="AI96" s="1192"/>
      <c r="AJ96" s="2267">
        <v>11</v>
      </c>
    </row>
    <row s="35197" customFormat="1" customHeight="1" ht="11.549999999999999">
      <c r="A97" s="1613"/>
      <c r="B97" s="2262"/>
      <c r="C97" s="2262"/>
      <c r="D97" s="977"/>
      <c r="J97" s="4642"/>
      <c r="K97" s="4642"/>
      <c r="L97" s="4642"/>
      <c r="M97" s="4642"/>
      <c r="O97" s="1786"/>
      <c r="P97" s="2262"/>
      <c r="Q97" s="2262"/>
      <c r="R97" s="1786"/>
      <c r="S97" s="1786"/>
      <c r="T97" s="1786"/>
      <c r="U97" s="1786"/>
      <c r="V97" s="2262"/>
      <c r="W97" s="1786"/>
      <c r="X97" s="1786"/>
      <c r="Y97" s="1170"/>
      <c r="Z97" s="1786"/>
      <c r="AA97" s="1786"/>
      <c r="AB97" s="1786"/>
      <c r="AC97" s="1786"/>
      <c r="AD97" s="1786"/>
      <c r="AE97" s="2258"/>
      <c r="AF97" s="1192"/>
      <c r="AG97" s="1192"/>
      <c r="AH97" s="1192"/>
      <c r="AI97" s="1192"/>
      <c r="AJ97" s="2267">
        <v>11</v>
      </c>
    </row>
    <row s="35197" customFormat="1" customHeight="1" ht="11.549999999999999">
      <c r="A98" s="1613"/>
      <c r="B98" s="2262"/>
      <c r="C98" s="2262"/>
      <c r="D98" s="977"/>
      <c r="J98" s="4642"/>
      <c r="K98" s="4642"/>
      <c r="L98" s="4642"/>
      <c r="M98" s="4642"/>
      <c r="O98" s="1786"/>
      <c r="P98" s="2262"/>
      <c r="Q98" s="2262"/>
      <c r="R98" s="1786"/>
      <c r="S98" s="1786"/>
      <c r="T98" s="1786"/>
      <c r="U98" s="1786"/>
      <c r="V98" s="2262"/>
      <c r="W98" s="1786"/>
      <c r="X98" s="1786"/>
      <c r="Y98" s="1170"/>
      <c r="Z98" s="1786"/>
      <c r="AA98" s="1786"/>
      <c r="AB98" s="1786"/>
      <c r="AC98" s="1786"/>
      <c r="AD98" s="1786"/>
      <c r="AE98" s="2258"/>
      <c r="AF98" s="1192"/>
      <c r="AG98" s="1192"/>
      <c r="AH98" s="1192"/>
      <c r="AI98" s="1192"/>
      <c r="AJ98" s="2267">
        <v>11</v>
      </c>
    </row>
    <row s="35197" customFormat="1" customHeight="1" ht="11.549999999999999">
      <c r="A99" s="1613"/>
      <c r="B99" s="2262"/>
      <c r="C99" s="2262"/>
      <c r="D99" s="977"/>
      <c r="J99" s="4642"/>
      <c r="K99" s="4642"/>
      <c r="L99" s="4642"/>
      <c r="M99" s="4642"/>
      <c r="O99" s="1786"/>
      <c r="P99" s="2262"/>
      <c r="Q99" s="2262"/>
      <c r="R99" s="1786"/>
      <c r="S99" s="1786"/>
      <c r="T99" s="1786"/>
      <c r="U99" s="1786"/>
      <c r="V99" s="2262"/>
      <c r="W99" s="1786"/>
      <c r="X99" s="1786"/>
      <c r="Y99" s="1170"/>
      <c r="Z99" s="1786"/>
      <c r="AA99" s="1786"/>
      <c r="AB99" s="1786"/>
      <c r="AC99" s="1786"/>
      <c r="AD99" s="1786"/>
      <c r="AE99" s="2258"/>
      <c r="AF99" s="1192"/>
      <c r="AG99" s="1192"/>
      <c r="AH99" s="1192"/>
      <c r="AI99" s="1192"/>
      <c r="AJ99" s="2267">
        <v>11</v>
      </c>
    </row>
    <row s="35197" customFormat="1" customHeight="1" ht="11.549999999999999">
      <c r="A100" s="1613"/>
      <c r="B100" s="2262"/>
      <c r="C100" s="2262"/>
      <c r="D100" s="977"/>
      <c r="J100" s="4642"/>
      <c r="K100" s="4642"/>
      <c r="L100" s="4642"/>
      <c r="M100" s="4642"/>
      <c r="O100" s="1786"/>
      <c r="P100" s="2262"/>
      <c r="Q100" s="2262"/>
      <c r="R100" s="1786"/>
      <c r="S100" s="1786"/>
      <c r="T100" s="1786"/>
      <c r="U100" s="1786"/>
      <c r="V100" s="2262"/>
      <c r="W100" s="1786"/>
      <c r="X100" s="1786"/>
      <c r="Y100" s="1170"/>
      <c r="Z100" s="1786"/>
      <c r="AA100" s="1786"/>
      <c r="AB100" s="1786"/>
      <c r="AC100" s="1786"/>
      <c r="AD100" s="1786"/>
      <c r="AE100" s="2258"/>
      <c r="AF100" s="1192"/>
      <c r="AG100" s="1192"/>
      <c r="AH100" s="1192"/>
      <c r="AI100" s="1192"/>
      <c r="AJ100" s="2267">
        <v>11</v>
      </c>
    </row>
    <row s="35197" customFormat="1" customHeight="1" ht="11.549999999999999">
      <c r="A101" s="1613"/>
      <c r="B101" s="2262"/>
      <c r="C101" s="2262"/>
      <c r="D101" s="977"/>
      <c r="J101" s="4642"/>
      <c r="K101" s="4642"/>
      <c r="L101" s="4642"/>
      <c r="M101" s="4642"/>
      <c r="O101" s="1786"/>
      <c r="P101" s="2262"/>
      <c r="Q101" s="2262"/>
      <c r="R101" s="1786"/>
      <c r="S101" s="1786"/>
      <c r="T101" s="1786"/>
      <c r="U101" s="1786"/>
      <c r="V101" s="2262"/>
      <c r="W101" s="1786"/>
      <c r="X101" s="1786"/>
      <c r="Y101" s="1170"/>
      <c r="Z101" s="1786"/>
      <c r="AA101" s="1786"/>
      <c r="AB101" s="1786"/>
      <c r="AC101" s="1786"/>
      <c r="AD101" s="1786"/>
      <c r="AE101" s="2258"/>
      <c r="AF101" s="1192"/>
      <c r="AG101" s="1192"/>
      <c r="AH101" s="1192"/>
      <c r="AI101" s="1192"/>
      <c r="AJ101" s="2267">
        <v>11</v>
      </c>
    </row>
    <row s="35197" customFormat="1" customHeight="1" ht="11.549999999999999">
      <c r="A102" s="1613"/>
      <c r="B102" s="2262"/>
      <c r="C102" s="2262"/>
      <c r="D102" s="977"/>
      <c r="J102" s="4642"/>
      <c r="K102" s="4642"/>
      <c r="L102" s="4642"/>
      <c r="M102" s="4642"/>
      <c r="O102" s="1786"/>
      <c r="P102" s="2262"/>
      <c r="Q102" s="2262"/>
      <c r="R102" s="1786"/>
      <c r="S102" s="1786"/>
      <c r="T102" s="1786"/>
      <c r="U102" s="1786"/>
      <c r="V102" s="2262"/>
      <c r="W102" s="1786"/>
      <c r="X102" s="1786"/>
      <c r="Y102" s="1170"/>
      <c r="Z102" s="1786"/>
      <c r="AA102" s="1786"/>
      <c r="AB102" s="1786"/>
      <c r="AC102" s="1786"/>
      <c r="AD102" s="1786"/>
      <c r="AE102" s="2258"/>
      <c r="AF102" s="1192"/>
      <c r="AG102" s="1192"/>
      <c r="AH102" s="1192"/>
      <c r="AI102" s="1192"/>
      <c r="AJ102" s="2267">
        <v>11</v>
      </c>
    </row>
    <row s="35197" customFormat="1" customHeight="1" ht="11.549999999999999">
      <c r="A103" s="1613"/>
      <c r="B103" s="2262"/>
      <c r="C103" s="2262"/>
      <c r="D103" s="977"/>
      <c r="J103" s="4642"/>
      <c r="K103" s="4642"/>
      <c r="L103" s="4642"/>
      <c r="M103" s="4642"/>
      <c r="O103" s="1786"/>
      <c r="P103" s="2262"/>
      <c r="Q103" s="2262"/>
      <c r="R103" s="1786"/>
      <c r="S103" s="1786"/>
      <c r="T103" s="1786"/>
      <c r="U103" s="1786"/>
      <c r="V103" s="2262"/>
      <c r="W103" s="1786"/>
      <c r="X103" s="1786"/>
      <c r="Y103" s="1170"/>
      <c r="Z103" s="1786"/>
      <c r="AA103" s="1786"/>
      <c r="AB103" s="1786"/>
      <c r="AC103" s="1786"/>
      <c r="AD103" s="1786"/>
      <c r="AE103" s="2258"/>
      <c r="AF103" s="1192"/>
      <c r="AG103" s="1192"/>
      <c r="AH103" s="1192"/>
      <c r="AI103" s="1192"/>
      <c r="AJ103" s="2267">
        <v>11</v>
      </c>
    </row>
    <row s="35197" customFormat="1" customHeight="1" ht="11.549999999999999">
      <c r="A104" s="1613"/>
      <c r="B104" s="2262"/>
      <c r="C104" s="2262"/>
      <c r="D104" s="977"/>
      <c r="J104" s="4642"/>
      <c r="K104" s="4642"/>
      <c r="L104" s="4642"/>
      <c r="M104" s="4642"/>
      <c r="O104" s="1786"/>
      <c r="P104" s="2262"/>
      <c r="Q104" s="2262"/>
      <c r="R104" s="1786"/>
      <c r="S104" s="1786"/>
      <c r="T104" s="1786"/>
      <c r="U104" s="1786"/>
      <c r="V104" s="2262"/>
      <c r="W104" s="1786"/>
      <c r="X104" s="1786"/>
      <c r="Y104" s="1170"/>
      <c r="Z104" s="1786"/>
      <c r="AA104" s="1786"/>
      <c r="AB104" s="1786"/>
      <c r="AC104" s="1786"/>
      <c r="AD104" s="1786"/>
      <c r="AE104" s="2258"/>
      <c r="AF104" s="1192"/>
      <c r="AG104" s="1192"/>
      <c r="AH104" s="1192"/>
      <c r="AI104" s="1192"/>
      <c r="AJ104" s="2267">
        <v>11</v>
      </c>
    </row>
    <row s="35197" customFormat="1" customHeight="1" ht="11.549999999999999">
      <c r="A105" s="1613"/>
      <c r="B105" s="2262"/>
      <c r="C105" s="2262"/>
      <c r="D105" s="977"/>
      <c r="J105" s="4642"/>
      <c r="K105" s="4642"/>
      <c r="L105" s="4642"/>
      <c r="M105" s="4642"/>
      <c r="O105" s="1786"/>
      <c r="P105" s="2262"/>
      <c r="Q105" s="2262"/>
      <c r="R105" s="1786"/>
      <c r="S105" s="1786"/>
      <c r="T105" s="1786"/>
      <c r="U105" s="1786"/>
      <c r="V105" s="2262"/>
      <c r="W105" s="1786"/>
      <c r="X105" s="1786"/>
      <c r="Y105" s="1170"/>
      <c r="Z105" s="1786"/>
      <c r="AA105" s="1786"/>
      <c r="AB105" s="1786"/>
      <c r="AC105" s="1786"/>
      <c r="AD105" s="1786"/>
      <c r="AE105" s="2258"/>
      <c r="AF105" s="1192"/>
      <c r="AG105" s="1192"/>
      <c r="AH105" s="1192"/>
      <c r="AI105" s="1192"/>
      <c r="AJ105" s="2267">
        <v>11</v>
      </c>
    </row>
    <row s="35197" customFormat="1" customHeight="1" ht="11.549999999999999">
      <c r="A106" s="1613"/>
      <c r="B106" s="2262"/>
      <c r="C106" s="2262"/>
      <c r="D106" s="977"/>
      <c r="J106" s="4642"/>
      <c r="K106" s="4642"/>
      <c r="L106" s="4642"/>
      <c r="M106" s="4642"/>
      <c r="O106" s="1786"/>
      <c r="P106" s="2262"/>
      <c r="Q106" s="2262"/>
      <c r="R106" s="1786"/>
      <c r="S106" s="1786"/>
      <c r="T106" s="1786"/>
      <c r="U106" s="1786"/>
      <c r="V106" s="2262"/>
      <c r="W106" s="1786"/>
      <c r="X106" s="1786"/>
      <c r="Y106" s="1170"/>
      <c r="Z106" s="1786"/>
      <c r="AA106" s="1786"/>
      <c r="AB106" s="1786"/>
      <c r="AC106" s="1786"/>
      <c r="AD106" s="1786"/>
      <c r="AE106" s="2258"/>
      <c r="AF106" s="1192"/>
      <c r="AG106" s="1192"/>
      <c r="AH106" s="1192"/>
      <c r="AI106" s="1192"/>
      <c r="AJ106" s="2267">
        <v>11</v>
      </c>
    </row>
    <row s="35197" customFormat="1" customHeight="1" ht="11.549999999999999">
      <c r="A107" s="1613"/>
      <c r="B107" s="2262"/>
      <c r="C107" s="2262"/>
      <c r="D107" s="977"/>
      <c r="J107" s="4642"/>
      <c r="K107" s="4642"/>
      <c r="L107" s="4642"/>
      <c r="M107" s="4642"/>
      <c r="O107" s="1786"/>
      <c r="P107" s="2262"/>
      <c r="Q107" s="2262"/>
      <c r="R107" s="1786"/>
      <c r="S107" s="1786"/>
      <c r="T107" s="1786"/>
      <c r="U107" s="1786"/>
      <c r="V107" s="2262"/>
      <c r="W107" s="1786"/>
      <c r="X107" s="1786"/>
      <c r="Y107" s="1170"/>
      <c r="Z107" s="1786"/>
      <c r="AA107" s="1786"/>
      <c r="AB107" s="1786"/>
      <c r="AC107" s="1786"/>
      <c r="AD107" s="1786"/>
      <c r="AE107" s="2258"/>
      <c r="AF107" s="1192"/>
      <c r="AG107" s="1192"/>
      <c r="AH107" s="1192"/>
      <c r="AI107" s="1192"/>
      <c r="AJ107" s="2267">
        <v>11</v>
      </c>
    </row>
    <row s="35197" customFormat="1" customHeight="1" ht="11.549999999999999">
      <c r="A108" s="1613"/>
      <c r="B108" s="2262"/>
      <c r="C108" s="2262"/>
      <c r="D108" s="977"/>
      <c r="J108" s="4642"/>
      <c r="K108" s="4642"/>
      <c r="L108" s="4642"/>
      <c r="M108" s="4642"/>
      <c r="O108" s="1786"/>
      <c r="P108" s="2262"/>
      <c r="Q108" s="2262"/>
      <c r="R108" s="1786"/>
      <c r="S108" s="1786"/>
      <c r="T108" s="1786"/>
      <c r="U108" s="1786"/>
      <c r="V108" s="2262"/>
      <c r="W108" s="1786"/>
      <c r="X108" s="1786"/>
      <c r="Y108" s="1170"/>
      <c r="Z108" s="1786"/>
      <c r="AA108" s="1786"/>
      <c r="AB108" s="1786"/>
      <c r="AC108" s="1786"/>
      <c r="AD108" s="1786"/>
      <c r="AE108" s="2258"/>
      <c r="AF108" s="1192"/>
      <c r="AG108" s="1192"/>
      <c r="AH108" s="1192"/>
      <c r="AI108" s="1192"/>
      <c r="AJ108" s="2267">
        <v>11</v>
      </c>
    </row>
    <row s="35197" customFormat="1" customHeight="1" ht="11.549999999999999">
      <c r="A109" s="1613"/>
      <c r="B109" s="2262"/>
      <c r="C109" s="2262"/>
      <c r="D109" s="977"/>
      <c r="J109" s="4642"/>
      <c r="K109" s="4642"/>
      <c r="L109" s="4642"/>
      <c r="M109" s="4642"/>
      <c r="O109" s="1786"/>
      <c r="P109" s="2262"/>
      <c r="Q109" s="2262"/>
      <c r="R109" s="1786"/>
      <c r="S109" s="1786"/>
      <c r="T109" s="1786"/>
      <c r="U109" s="1786"/>
      <c r="V109" s="2262"/>
      <c r="W109" s="1786"/>
      <c r="X109" s="1786"/>
      <c r="Y109" s="1170"/>
      <c r="Z109" s="1786"/>
      <c r="AA109" s="1786"/>
      <c r="AB109" s="1786"/>
      <c r="AC109" s="1786"/>
      <c r="AD109" s="1786"/>
      <c r="AE109" s="2258"/>
      <c r="AF109" s="1192"/>
      <c r="AG109" s="1192"/>
      <c r="AH109" s="1192"/>
      <c r="AI109" s="1192"/>
      <c r="AJ109" s="2267">
        <v>11</v>
      </c>
    </row>
    <row s="35197" customFormat="1" customHeight="1" ht="11.549999999999999">
      <c r="A110" s="1613"/>
      <c r="B110" s="2262"/>
      <c r="C110" s="2262"/>
      <c r="D110" s="977"/>
      <c r="J110" s="4642"/>
      <c r="K110" s="4642"/>
      <c r="L110" s="4642"/>
      <c r="M110" s="4642"/>
      <c r="O110" s="1786"/>
      <c r="P110" s="2262"/>
      <c r="Q110" s="2262"/>
      <c r="R110" s="1786"/>
      <c r="S110" s="1786"/>
      <c r="T110" s="1786"/>
      <c r="U110" s="1786"/>
      <c r="V110" s="2262"/>
      <c r="W110" s="1786"/>
      <c r="X110" s="1786"/>
      <c r="Y110" s="1170"/>
      <c r="Z110" s="1786"/>
      <c r="AA110" s="1786"/>
      <c r="AB110" s="1786"/>
      <c r="AC110" s="1786"/>
      <c r="AD110" s="1786"/>
      <c r="AE110" s="2258"/>
      <c r="AF110" s="1192"/>
      <c r="AG110" s="1192"/>
      <c r="AH110" s="1192"/>
      <c r="AI110" s="1192"/>
      <c r="AJ110" s="2267">
        <v>11</v>
      </c>
    </row>
    <row s="35197" customFormat="1" customHeight="1" ht="11.549999999999999">
      <c r="A111" s="1613"/>
      <c r="B111" s="2262"/>
      <c r="C111" s="2262"/>
      <c r="D111" s="977"/>
      <c r="J111" s="4642"/>
      <c r="K111" s="4642"/>
      <c r="L111" s="4642"/>
      <c r="M111" s="4642"/>
      <c r="O111" s="1786"/>
      <c r="P111" s="2262"/>
      <c r="Q111" s="2262"/>
      <c r="R111" s="1786"/>
      <c r="S111" s="1786"/>
      <c r="T111" s="1786"/>
      <c r="U111" s="1786"/>
      <c r="V111" s="2262"/>
      <c r="W111" s="1786"/>
      <c r="X111" s="1786"/>
      <c r="Y111" s="1170"/>
      <c r="Z111" s="1786"/>
      <c r="AA111" s="1786"/>
      <c r="AB111" s="1786"/>
      <c r="AC111" s="1786"/>
      <c r="AD111" s="1786"/>
      <c r="AE111" s="2258"/>
      <c r="AF111" s="1192"/>
      <c r="AG111" s="1192"/>
      <c r="AH111" s="1192"/>
      <c r="AI111" s="1192"/>
      <c r="AJ111" s="2267">
        <v>11</v>
      </c>
    </row>
    <row s="35197" customFormat="1" customHeight="1" ht="11.549999999999999">
      <c r="A112" s="1613"/>
      <c r="B112" s="2262"/>
      <c r="C112" s="2262"/>
      <c r="D112" s="977"/>
      <c r="J112" s="4642"/>
      <c r="K112" s="4642"/>
      <c r="L112" s="4642"/>
      <c r="M112" s="4642"/>
      <c r="O112" s="1786"/>
      <c r="P112" s="2262"/>
      <c r="Q112" s="2262"/>
      <c r="R112" s="1786"/>
      <c r="S112" s="1786"/>
      <c r="T112" s="1786"/>
      <c r="U112" s="1786"/>
      <c r="V112" s="2262"/>
      <c r="W112" s="1786"/>
      <c r="X112" s="1786"/>
      <c r="Y112" s="1170"/>
      <c r="Z112" s="1786"/>
      <c r="AA112" s="1786"/>
      <c r="AB112" s="1786"/>
      <c r="AC112" s="1786"/>
      <c r="AD112" s="1786"/>
      <c r="AE112" s="2258"/>
      <c r="AF112" s="1192"/>
      <c r="AG112" s="1192"/>
      <c r="AH112" s="1192"/>
      <c r="AI112" s="1192"/>
      <c r="AJ112" s="2267">
        <v>11</v>
      </c>
    </row>
    <row s="35197" customFormat="1" customHeight="1" ht="11.549999999999999">
      <c r="A113" s="1613"/>
      <c r="B113" s="2262"/>
      <c r="C113" s="2262"/>
      <c r="D113" s="977"/>
      <c r="J113" s="4642"/>
      <c r="K113" s="4642"/>
      <c r="L113" s="4642"/>
      <c r="M113" s="4642"/>
      <c r="O113" s="1786"/>
      <c r="P113" s="2262"/>
      <c r="Q113" s="2262"/>
      <c r="R113" s="1786"/>
      <c r="S113" s="1786"/>
      <c r="T113" s="1786"/>
      <c r="U113" s="1786"/>
      <c r="V113" s="2262"/>
      <c r="W113" s="1786"/>
      <c r="X113" s="1786"/>
      <c r="Y113" s="1170"/>
      <c r="Z113" s="1786"/>
      <c r="AA113" s="1786"/>
      <c r="AB113" s="1786"/>
      <c r="AC113" s="1786"/>
      <c r="AD113" s="1786"/>
      <c r="AE113" s="2258"/>
      <c r="AF113" s="1192"/>
      <c r="AG113" s="1192"/>
      <c r="AH113" s="1192"/>
      <c r="AI113" s="1192"/>
      <c r="AJ113" s="2267">
        <v>11</v>
      </c>
    </row>
    <row s="35197" customFormat="1" customHeight="1" ht="11.549999999999999">
      <c r="A114" s="1613"/>
      <c r="B114" s="2262"/>
      <c r="C114" s="2262"/>
      <c r="D114" s="977"/>
      <c r="J114" s="4642"/>
      <c r="K114" s="4642"/>
      <c r="L114" s="4642"/>
      <c r="M114" s="4642"/>
      <c r="O114" s="1786"/>
      <c r="P114" s="2262"/>
      <c r="Q114" s="2262"/>
      <c r="R114" s="1786"/>
      <c r="S114" s="1786"/>
      <c r="T114" s="1786"/>
      <c r="U114" s="1786"/>
      <c r="V114" s="2262"/>
      <c r="W114" s="1786"/>
      <c r="X114" s="1786"/>
      <c r="Y114" s="1170"/>
      <c r="Z114" s="1786"/>
      <c r="AA114" s="1786"/>
      <c r="AB114" s="1786"/>
      <c r="AC114" s="1786"/>
      <c r="AD114" s="1786"/>
      <c r="AE114" s="2258"/>
      <c r="AF114" s="1192"/>
      <c r="AG114" s="1192"/>
      <c r="AH114" s="1192"/>
      <c r="AI114" s="1192"/>
      <c r="AJ114" s="2267">
        <v>11</v>
      </c>
    </row>
    <row s="35197" customFormat="1" customHeight="1" ht="11.549999999999999">
      <c r="A115" s="1613"/>
      <c r="B115" s="2262"/>
      <c r="C115" s="2262"/>
      <c r="D115" s="977"/>
      <c r="J115" s="4642"/>
      <c r="K115" s="4642"/>
      <c r="L115" s="4642"/>
      <c r="M115" s="4642"/>
      <c r="O115" s="1786"/>
      <c r="P115" s="2262"/>
      <c r="Q115" s="2262"/>
      <c r="R115" s="1786"/>
      <c r="S115" s="1786"/>
      <c r="T115" s="1786"/>
      <c r="U115" s="1786"/>
      <c r="V115" s="2262"/>
      <c r="W115" s="1786"/>
      <c r="X115" s="1786"/>
      <c r="Y115" s="1170"/>
      <c r="Z115" s="1786"/>
      <c r="AA115" s="1786"/>
      <c r="AB115" s="1786"/>
      <c r="AC115" s="1786"/>
      <c r="AD115" s="1786"/>
      <c r="AE115" s="2258"/>
      <c r="AF115" s="1192"/>
      <c r="AG115" s="1192"/>
      <c r="AH115" s="1192"/>
      <c r="AI115" s="1192"/>
      <c r="AJ115" s="2267">
        <v>11</v>
      </c>
    </row>
    <row s="35197" customFormat="1" customHeight="1" ht="11.549999999999999">
      <c r="A116" s="1613"/>
      <c r="B116" s="2262"/>
      <c r="C116" s="2262"/>
      <c r="D116" s="977"/>
      <c r="J116" s="4642"/>
      <c r="K116" s="4642"/>
      <c r="L116" s="4642"/>
      <c r="M116" s="4642"/>
      <c r="O116" s="1786"/>
      <c r="P116" s="2262"/>
      <c r="Q116" s="2262"/>
      <c r="R116" s="1786"/>
      <c r="S116" s="1786"/>
      <c r="T116" s="1786"/>
      <c r="U116" s="1786"/>
      <c r="V116" s="2262"/>
      <c r="W116" s="1786"/>
      <c r="X116" s="1786"/>
      <c r="Y116" s="1170"/>
      <c r="Z116" s="1786"/>
      <c r="AA116" s="1786"/>
      <c r="AB116" s="1786"/>
      <c r="AC116" s="1786"/>
      <c r="AD116" s="1786"/>
      <c r="AE116" s="2258"/>
      <c r="AF116" s="1192"/>
      <c r="AG116" s="1192"/>
      <c r="AH116" s="1192"/>
      <c r="AI116" s="1192"/>
      <c r="AJ116" s="2267">
        <v>11</v>
      </c>
    </row>
    <row s="35197" customFormat="1" customHeight="1" ht="11.549999999999999">
      <c r="A117" s="1613"/>
      <c r="B117" s="2262"/>
      <c r="C117" s="2262"/>
      <c r="D117" s="977"/>
      <c r="J117" s="4642"/>
      <c r="K117" s="4642"/>
      <c r="L117" s="4642"/>
      <c r="M117" s="4642"/>
      <c r="O117" s="1786"/>
      <c r="P117" s="2262"/>
      <c r="Q117" s="2262"/>
      <c r="R117" s="1786"/>
      <c r="S117" s="1786"/>
      <c r="T117" s="1786"/>
      <c r="U117" s="1786"/>
      <c r="V117" s="2262"/>
      <c r="W117" s="1786"/>
      <c r="X117" s="1786"/>
      <c r="Y117" s="1170"/>
      <c r="Z117" s="1786"/>
      <c r="AA117" s="1786"/>
      <c r="AB117" s="1786"/>
      <c r="AC117" s="1786"/>
      <c r="AD117" s="1786"/>
      <c r="AE117" s="2258"/>
      <c r="AF117" s="1192"/>
      <c r="AG117" s="1192"/>
      <c r="AH117" s="1192"/>
      <c r="AI117" s="1192"/>
      <c r="AJ117" s="2267">
        <v>11</v>
      </c>
    </row>
    <row s="35197" customFormat="1" customHeight="1" ht="11.549999999999999">
      <c r="A118" s="1613"/>
      <c r="B118" s="2262"/>
      <c r="C118" s="2262"/>
      <c r="D118" s="977"/>
      <c r="J118" s="4642"/>
      <c r="K118" s="4642"/>
      <c r="L118" s="4642"/>
      <c r="M118" s="4642"/>
      <c r="O118" s="1786"/>
      <c r="P118" s="2262"/>
      <c r="Q118" s="2262"/>
      <c r="R118" s="1786"/>
      <c r="S118" s="1786"/>
      <c r="T118" s="1786"/>
      <c r="U118" s="1786"/>
      <c r="V118" s="2262"/>
      <c r="W118" s="1786"/>
      <c r="X118" s="1786"/>
      <c r="Y118" s="1170"/>
      <c r="Z118" s="1786"/>
      <c r="AA118" s="1786"/>
      <c r="AB118" s="1786"/>
      <c r="AC118" s="1786"/>
      <c r="AD118" s="1786"/>
      <c r="AE118" s="2258"/>
      <c r="AF118" s="1192"/>
      <c r="AG118" s="1192"/>
      <c r="AH118" s="1192"/>
      <c r="AI118" s="1192"/>
      <c r="AJ118" s="2267">
        <v>11</v>
      </c>
    </row>
    <row s="35197" customFormat="1" customHeight="1" ht="11.549999999999999">
      <c r="A119" s="1613"/>
      <c r="B119" s="2262"/>
      <c r="C119" s="2262"/>
      <c r="D119" s="977"/>
      <c r="J119" s="4642"/>
      <c r="K119" s="4642"/>
      <c r="L119" s="4642"/>
      <c r="M119" s="4642"/>
      <c r="O119" s="1786"/>
      <c r="P119" s="2262"/>
      <c r="Q119" s="2262"/>
      <c r="R119" s="1786"/>
      <c r="S119" s="1786"/>
      <c r="T119" s="1786"/>
      <c r="U119" s="1786"/>
      <c r="V119" s="2262"/>
      <c r="W119" s="1786"/>
      <c r="X119" s="1786"/>
      <c r="Y119" s="1170"/>
      <c r="Z119" s="1786"/>
      <c r="AA119" s="1786"/>
      <c r="AB119" s="1786"/>
      <c r="AC119" s="1786"/>
      <c r="AD119" s="1786"/>
      <c r="AE119" s="2258"/>
      <c r="AF119" s="1192"/>
      <c r="AG119" s="1192"/>
      <c r="AH119" s="1192"/>
      <c r="AI119" s="1192"/>
      <c r="AJ119" s="2267">
        <v>11</v>
      </c>
    </row>
    <row s="35197" customFormat="1" customHeight="1" ht="11.549999999999999">
      <c r="A120" s="1613"/>
      <c r="B120" s="2262"/>
      <c r="C120" s="2262"/>
      <c r="D120" s="977"/>
      <c r="J120" s="4642"/>
      <c r="K120" s="4642"/>
      <c r="L120" s="4642"/>
      <c r="M120" s="4642"/>
      <c r="O120" s="1786"/>
      <c r="P120" s="2262"/>
      <c r="Q120" s="2262"/>
      <c r="R120" s="1786"/>
      <c r="S120" s="1786"/>
      <c r="T120" s="1786"/>
      <c r="U120" s="1786"/>
      <c r="V120" s="2262"/>
      <c r="W120" s="1786"/>
      <c r="X120" s="1786"/>
      <c r="Y120" s="1170"/>
      <c r="Z120" s="1786"/>
      <c r="AA120" s="1786"/>
      <c r="AB120" s="1786"/>
      <c r="AC120" s="1786"/>
      <c r="AD120" s="1786"/>
      <c r="AE120" s="2258"/>
      <c r="AF120" s="1192"/>
      <c r="AG120" s="1192"/>
      <c r="AH120" s="1192"/>
      <c r="AI120" s="1192"/>
      <c r="AJ120" s="2267">
        <v>11</v>
      </c>
    </row>
    <row s="35197" customFormat="1" customHeight="1" ht="11.549999999999999">
      <c r="A121" s="1613"/>
      <c r="B121" s="2262"/>
      <c r="C121" s="2262"/>
      <c r="D121" s="977"/>
      <c r="J121" s="4642"/>
      <c r="K121" s="4642"/>
      <c r="L121" s="4642"/>
      <c r="M121" s="4642"/>
      <c r="O121" s="1786"/>
      <c r="P121" s="2262"/>
      <c r="Q121" s="2262"/>
      <c r="R121" s="1786"/>
      <c r="S121" s="1786"/>
      <c r="T121" s="1786"/>
      <c r="U121" s="1786"/>
      <c r="V121" s="2262"/>
      <c r="W121" s="1786"/>
      <c r="X121" s="1786"/>
      <c r="Y121" s="1170"/>
      <c r="Z121" s="1786"/>
      <c r="AA121" s="1786"/>
      <c r="AB121" s="1786"/>
      <c r="AC121" s="1786"/>
      <c r="AD121" s="1786"/>
      <c r="AE121" s="2258"/>
      <c r="AF121" s="1192"/>
      <c r="AG121" s="1192"/>
      <c r="AH121" s="1192"/>
      <c r="AI121" s="1192"/>
      <c r="AJ121" s="2267">
        <v>11</v>
      </c>
    </row>
    <row s="35197" customFormat="1" customHeight="1" ht="11.549999999999999">
      <c r="A122" s="1613"/>
      <c r="B122" s="2262"/>
      <c r="C122" s="2262"/>
      <c r="D122" s="977"/>
      <c r="J122" s="4642"/>
      <c r="K122" s="4642"/>
      <c r="L122" s="4642"/>
      <c r="M122" s="4642"/>
      <c r="O122" s="1786"/>
      <c r="P122" s="2262"/>
      <c r="Q122" s="2262"/>
      <c r="R122" s="1786"/>
      <c r="S122" s="1786"/>
      <c r="T122" s="1786"/>
      <c r="U122" s="1786"/>
      <c r="V122" s="2262"/>
      <c r="W122" s="1786"/>
      <c r="X122" s="1786"/>
      <c r="Y122" s="1170"/>
      <c r="Z122" s="1786"/>
      <c r="AA122" s="1786"/>
      <c r="AB122" s="1786"/>
      <c r="AC122" s="1786"/>
      <c r="AD122" s="1786"/>
      <c r="AE122" s="2258"/>
      <c r="AF122" s="1192"/>
      <c r="AG122" s="1192"/>
      <c r="AH122" s="1192"/>
      <c r="AI122" s="1192"/>
      <c r="AJ122" s="2267">
        <v>11</v>
      </c>
    </row>
    <row s="35197" customFormat="1" customHeight="1" ht="11.549999999999999">
      <c r="A123" s="1613"/>
      <c r="B123" s="2262"/>
      <c r="C123" s="2262"/>
      <c r="D123" s="977"/>
      <c r="J123" s="4642"/>
      <c r="K123" s="4642"/>
      <c r="L123" s="4642"/>
      <c r="M123" s="4642"/>
      <c r="O123" s="1786"/>
      <c r="P123" s="2262"/>
      <c r="Q123" s="2262"/>
      <c r="R123" s="1786"/>
      <c r="S123" s="1786"/>
      <c r="T123" s="1786"/>
      <c r="U123" s="1786"/>
      <c r="V123" s="2262"/>
      <c r="W123" s="1786"/>
      <c r="X123" s="1786"/>
      <c r="Y123" s="1170"/>
      <c r="Z123" s="1786"/>
      <c r="AA123" s="1786"/>
      <c r="AB123" s="1786"/>
      <c r="AC123" s="1786"/>
      <c r="AD123" s="1786"/>
      <c r="AE123" s="2258"/>
      <c r="AF123" s="1192"/>
      <c r="AG123" s="1192"/>
      <c r="AH123" s="1192"/>
      <c r="AI123" s="1192"/>
      <c r="AJ123" s="2267">
        <v>11</v>
      </c>
    </row>
    <row s="35197" customFormat="1" customHeight="1" ht="11.549999999999999">
      <c r="A124" s="1613"/>
      <c r="B124" s="2262"/>
      <c r="C124" s="2262"/>
      <c r="D124" s="977"/>
      <c r="J124" s="4642"/>
      <c r="K124" s="4642"/>
      <c r="L124" s="4642"/>
      <c r="M124" s="4642"/>
      <c r="O124" s="1786"/>
      <c r="P124" s="2262"/>
      <c r="Q124" s="2262"/>
      <c r="R124" s="1786"/>
      <c r="S124" s="1786"/>
      <c r="T124" s="1786"/>
      <c r="U124" s="1786"/>
      <c r="V124" s="2262"/>
      <c r="W124" s="1786"/>
      <c r="X124" s="1786"/>
      <c r="Y124" s="1170"/>
      <c r="Z124" s="1786"/>
      <c r="AA124" s="1786"/>
      <c r="AB124" s="1786"/>
      <c r="AC124" s="1786"/>
      <c r="AD124" s="1786"/>
      <c r="AE124" s="2258"/>
      <c r="AF124" s="1192"/>
      <c r="AG124" s="1192"/>
      <c r="AH124" s="1192"/>
      <c r="AI124" s="1192"/>
      <c r="AJ124" s="2267">
        <v>11</v>
      </c>
    </row>
    <row s="35197" customFormat="1" customHeight="1" ht="11.549999999999999">
      <c r="A125" s="1613"/>
      <c r="B125" s="2262"/>
      <c r="C125" s="2262"/>
      <c r="D125" s="977"/>
      <c r="J125" s="4642"/>
      <c r="K125" s="4642"/>
      <c r="L125" s="4642"/>
      <c r="M125" s="4642"/>
      <c r="O125" s="1786"/>
      <c r="P125" s="2262"/>
      <c r="Q125" s="2262"/>
      <c r="R125" s="1786"/>
      <c r="S125" s="1786"/>
      <c r="T125" s="1786"/>
      <c r="U125" s="1786"/>
      <c r="V125" s="2262"/>
      <c r="W125" s="1786"/>
      <c r="X125" s="1786"/>
      <c r="Y125" s="1170"/>
      <c r="Z125" s="1786"/>
      <c r="AA125" s="1786"/>
      <c r="AB125" s="1786"/>
      <c r="AC125" s="1786"/>
      <c r="AD125" s="1786"/>
      <c r="AE125" s="2258"/>
      <c r="AF125" s="1192"/>
      <c r="AG125" s="1192"/>
      <c r="AH125" s="1192"/>
      <c r="AI125" s="1192"/>
      <c r="AJ125" s="2267">
        <v>11</v>
      </c>
    </row>
    <row s="35197" customFormat="1" customHeight="1" ht="11.549999999999999">
      <c r="A126" s="1613"/>
      <c r="B126" s="2262"/>
      <c r="C126" s="2262"/>
      <c r="D126" s="977"/>
      <c r="J126" s="4642"/>
      <c r="K126" s="4642"/>
      <c r="L126" s="4642"/>
      <c r="M126" s="4642"/>
      <c r="O126" s="1786"/>
      <c r="P126" s="2262"/>
      <c r="Q126" s="2262"/>
      <c r="R126" s="1786"/>
      <c r="S126" s="1786"/>
      <c r="T126" s="1786"/>
      <c r="U126" s="1786"/>
      <c r="V126" s="2262"/>
      <c r="W126" s="1786"/>
      <c r="X126" s="1786"/>
      <c r="Y126" s="1170"/>
      <c r="Z126" s="1786"/>
      <c r="AA126" s="1786"/>
      <c r="AB126" s="1786"/>
      <c r="AC126" s="1786"/>
      <c r="AD126" s="1786"/>
      <c r="AE126" s="2258"/>
      <c r="AF126" s="1192"/>
      <c r="AG126" s="1192"/>
      <c r="AH126" s="1192"/>
      <c r="AI126" s="1192"/>
      <c r="AJ126" s="2267">
        <v>11</v>
      </c>
    </row>
    <row s="35197" customFormat="1" customHeight="1" ht="11.549999999999999">
      <c r="A127" s="1613"/>
      <c r="B127" s="2262"/>
      <c r="C127" s="2262"/>
      <c r="D127" s="977"/>
      <c r="J127" s="4642"/>
      <c r="K127" s="4642"/>
      <c r="L127" s="4642"/>
      <c r="M127" s="4642"/>
      <c r="O127" s="1786"/>
      <c r="P127" s="2262"/>
      <c r="Q127" s="2262"/>
      <c r="R127" s="1786"/>
      <c r="S127" s="1786"/>
      <c r="T127" s="1786"/>
      <c r="U127" s="1786"/>
      <c r="V127" s="2262"/>
      <c r="W127" s="1786"/>
      <c r="X127" s="1786"/>
      <c r="Y127" s="1170"/>
      <c r="Z127" s="1786"/>
      <c r="AA127" s="1786"/>
      <c r="AB127" s="1786"/>
      <c r="AC127" s="1786"/>
      <c r="AD127" s="1786"/>
      <c r="AE127" s="2258"/>
      <c r="AF127" s="1192"/>
      <c r="AG127" s="1192"/>
      <c r="AH127" s="1192"/>
      <c r="AI127" s="1192"/>
      <c r="AJ127" s="2267">
        <v>11</v>
      </c>
    </row>
    <row s="35197" customFormat="1" customHeight="1" ht="11.549999999999999">
      <c r="A128" s="1613"/>
      <c r="B128" s="2262"/>
      <c r="C128" s="2262"/>
      <c r="D128" s="977"/>
      <c r="J128" s="4642"/>
      <c r="K128" s="4642"/>
      <c r="L128" s="4642"/>
      <c r="M128" s="4642"/>
      <c r="O128" s="1786"/>
      <c r="P128" s="2262"/>
      <c r="Q128" s="2262"/>
      <c r="R128" s="1786"/>
      <c r="S128" s="1786"/>
      <c r="T128" s="1786"/>
      <c r="U128" s="1786"/>
      <c r="V128" s="2262"/>
      <c r="W128" s="1786"/>
      <c r="X128" s="1786"/>
      <c r="Y128" s="1170"/>
      <c r="Z128" s="1786"/>
      <c r="AA128" s="1786"/>
      <c r="AB128" s="1786"/>
      <c r="AC128" s="1786"/>
      <c r="AD128" s="1786"/>
      <c r="AE128" s="2258"/>
      <c r="AF128" s="1192"/>
      <c r="AG128" s="1192"/>
      <c r="AH128" s="1192"/>
      <c r="AI128" s="1192"/>
      <c r="AJ128" s="2267">
        <v>11</v>
      </c>
    </row>
    <row s="35197" customFormat="1" customHeight="1" ht="11.549999999999999">
      <c r="A129" s="1613"/>
      <c r="B129" s="2262"/>
      <c r="C129" s="2262"/>
      <c r="D129" s="977"/>
      <c r="J129" s="4642"/>
      <c r="K129" s="4642"/>
      <c r="L129" s="4642"/>
      <c r="M129" s="4642"/>
      <c r="O129" s="1786"/>
      <c r="P129" s="2262"/>
      <c r="Q129" s="2262"/>
      <c r="R129" s="1786"/>
      <c r="S129" s="1786"/>
      <c r="T129" s="1786"/>
      <c r="U129" s="1786"/>
      <c r="V129" s="2262"/>
      <c r="W129" s="1786"/>
      <c r="X129" s="1786"/>
      <c r="Y129" s="1170"/>
      <c r="Z129" s="1786"/>
      <c r="AA129" s="1786"/>
      <c r="AB129" s="1786"/>
      <c r="AC129" s="1786"/>
      <c r="AD129" s="1786"/>
      <c r="AE129" s="2258"/>
      <c r="AF129" s="1192"/>
      <c r="AG129" s="1192"/>
      <c r="AH129" s="1192"/>
      <c r="AI129" s="1192"/>
      <c r="AJ129" s="2267">
        <v>11</v>
      </c>
    </row>
    <row s="35197" customFormat="1" customHeight="1" ht="11.549999999999999">
      <c r="A130" s="1613"/>
      <c r="B130" s="2262"/>
      <c r="C130" s="2262"/>
      <c r="D130" s="977"/>
      <c r="J130" s="4642"/>
      <c r="K130" s="4642"/>
      <c r="L130" s="4642"/>
      <c r="M130" s="4642"/>
      <c r="O130" s="1786"/>
      <c r="P130" s="2262"/>
      <c r="Q130" s="2262"/>
      <c r="R130" s="1786"/>
      <c r="S130" s="1786"/>
      <c r="T130" s="1786"/>
      <c r="U130" s="1786"/>
      <c r="V130" s="2262"/>
      <c r="W130" s="1786"/>
      <c r="X130" s="1786"/>
      <c r="Y130" s="1170"/>
      <c r="Z130" s="1786"/>
      <c r="AA130" s="1786"/>
      <c r="AB130" s="1786"/>
      <c r="AC130" s="1786"/>
      <c r="AD130" s="1786"/>
      <c r="AE130" s="2258"/>
      <c r="AF130" s="1192"/>
      <c r="AG130" s="1192"/>
      <c r="AH130" s="1192"/>
      <c r="AI130" s="1192"/>
      <c r="AJ130" s="2267">
        <v>11</v>
      </c>
    </row>
    <row s="35197" customFormat="1" customHeight="1" ht="11.549999999999999">
      <c r="A131" s="1613"/>
      <c r="B131" s="2262"/>
      <c r="C131" s="2262"/>
      <c r="D131" s="977"/>
      <c r="J131" s="4642"/>
      <c r="K131" s="4642"/>
      <c r="L131" s="4642"/>
      <c r="M131" s="4642"/>
      <c r="O131" s="1786"/>
      <c r="P131" s="2262"/>
      <c r="Q131" s="2262"/>
      <c r="R131" s="1786"/>
      <c r="S131" s="1786"/>
      <c r="T131" s="1786"/>
      <c r="U131" s="1786"/>
      <c r="V131" s="2262"/>
      <c r="W131" s="1786"/>
      <c r="X131" s="1786"/>
      <c r="Y131" s="1170"/>
      <c r="Z131" s="1786"/>
      <c r="AA131" s="1786"/>
      <c r="AB131" s="1786"/>
      <c r="AC131" s="1786"/>
      <c r="AD131" s="1786"/>
      <c r="AE131" s="2258"/>
      <c r="AF131" s="1192"/>
      <c r="AG131" s="1192"/>
      <c r="AH131" s="1192"/>
      <c r="AI131" s="1192"/>
      <c r="AJ131" s="2267">
        <v>11</v>
      </c>
    </row>
    <row s="35197" customFormat="1" customHeight="1" ht="11.549999999999999">
      <c r="A132" s="1613"/>
      <c r="B132" s="2262"/>
      <c r="C132" s="2262"/>
      <c r="D132" s="977"/>
      <c r="J132" s="4642"/>
      <c r="K132" s="4642"/>
      <c r="L132" s="4642"/>
      <c r="M132" s="4642"/>
      <c r="O132" s="1786"/>
      <c r="P132" s="2262"/>
      <c r="Q132" s="2262"/>
      <c r="R132" s="1786"/>
      <c r="S132" s="1786"/>
      <c r="T132" s="1786"/>
      <c r="U132" s="1786"/>
      <c r="V132" s="2262"/>
      <c r="W132" s="1786"/>
      <c r="X132" s="1786"/>
      <c r="Y132" s="1170"/>
      <c r="Z132" s="1786"/>
      <c r="AA132" s="1786"/>
      <c r="AB132" s="1786"/>
      <c r="AC132" s="1786"/>
      <c r="AD132" s="1786"/>
      <c r="AE132" s="2258"/>
      <c r="AF132" s="1192"/>
      <c r="AG132" s="1192"/>
      <c r="AH132" s="1192"/>
      <c r="AI132" s="1192"/>
      <c r="AJ132" s="2267">
        <v>11</v>
      </c>
    </row>
    <row s="35197" customFormat="1" customHeight="1" ht="11.549999999999999">
      <c r="A133" s="1613"/>
      <c r="B133" s="2262"/>
      <c r="C133" s="2262"/>
      <c r="D133" s="977"/>
      <c r="J133" s="4642"/>
      <c r="K133" s="4642"/>
      <c r="L133" s="4642"/>
      <c r="M133" s="4642"/>
      <c r="O133" s="1786"/>
      <c r="P133" s="2262"/>
      <c r="Q133" s="2262"/>
      <c r="R133" s="1786"/>
      <c r="S133" s="1786"/>
      <c r="T133" s="1786"/>
      <c r="U133" s="1786"/>
      <c r="V133" s="2262"/>
      <c r="W133" s="1786"/>
      <c r="X133" s="1786"/>
      <c r="Y133" s="1170"/>
      <c r="Z133" s="1786"/>
      <c r="AA133" s="1786"/>
      <c r="AB133" s="1786"/>
      <c r="AC133" s="1786"/>
      <c r="AD133" s="1786"/>
      <c r="AE133" s="2258"/>
      <c r="AF133" s="1192"/>
      <c r="AG133" s="1192"/>
      <c r="AH133" s="1192"/>
      <c r="AI133" s="1192"/>
      <c r="AJ133" s="2267">
        <v>11</v>
      </c>
    </row>
    <row s="35197" customFormat="1" customHeight="1" ht="11.549999999999999">
      <c r="A134" s="1613"/>
      <c r="B134" s="2262"/>
      <c r="C134" s="2262"/>
      <c r="D134" s="977"/>
      <c r="J134" s="4642"/>
      <c r="K134" s="4642"/>
      <c r="L134" s="4642"/>
      <c r="M134" s="4642"/>
      <c r="O134" s="1786"/>
      <c r="P134" s="2262"/>
      <c r="Q134" s="2262"/>
      <c r="R134" s="1786"/>
      <c r="S134" s="1786"/>
      <c r="T134" s="1786"/>
      <c r="U134" s="1786"/>
      <c r="V134" s="2262"/>
      <c r="W134" s="1786"/>
      <c r="X134" s="1786"/>
      <c r="Y134" s="1170"/>
      <c r="Z134" s="1786"/>
      <c r="AA134" s="1786"/>
      <c r="AB134" s="1786"/>
      <c r="AC134" s="1786"/>
      <c r="AD134" s="1786"/>
      <c r="AE134" s="2258"/>
      <c r="AF134" s="1192"/>
      <c r="AG134" s="1192"/>
      <c r="AH134" s="1192"/>
      <c r="AI134" s="1192"/>
      <c r="AJ134" s="2267">
        <v>11</v>
      </c>
    </row>
    <row s="35197" customFormat="1" customHeight="1" ht="11.549999999999999">
      <c r="A135" s="1613"/>
      <c r="B135" s="2262"/>
      <c r="C135" s="2262"/>
      <c r="D135" s="977"/>
      <c r="J135" s="4642"/>
      <c r="K135" s="4642"/>
      <c r="L135" s="4642"/>
      <c r="M135" s="4642"/>
      <c r="O135" s="1786"/>
      <c r="P135" s="2262"/>
      <c r="Q135" s="2262"/>
      <c r="R135" s="1786"/>
      <c r="S135" s="1786"/>
      <c r="T135" s="1786"/>
      <c r="U135" s="1786"/>
      <c r="V135" s="2262"/>
      <c r="W135" s="1786"/>
      <c r="X135" s="1786"/>
      <c r="Y135" s="1170"/>
      <c r="Z135" s="1786"/>
      <c r="AA135" s="1786"/>
      <c r="AB135" s="1786"/>
      <c r="AC135" s="1786"/>
      <c r="AD135" s="1786"/>
      <c r="AE135" s="2258"/>
      <c r="AF135" s="1192"/>
      <c r="AG135" s="1192"/>
      <c r="AH135" s="1192"/>
      <c r="AI135" s="1192"/>
      <c r="AJ135" s="2267">
        <v>11</v>
      </c>
    </row>
    <row s="35197" customFormat="1" customHeight="1" ht="11.549999999999999">
      <c r="A136" s="1613"/>
      <c r="B136" s="2262"/>
      <c r="C136" s="2262"/>
      <c r="D136" s="977"/>
      <c r="J136" s="4642"/>
      <c r="K136" s="4642"/>
      <c r="L136" s="4642"/>
      <c r="M136" s="4642"/>
      <c r="O136" s="1786"/>
      <c r="P136" s="2262"/>
      <c r="Q136" s="2262"/>
      <c r="R136" s="1786"/>
      <c r="S136" s="1786"/>
      <c r="T136" s="1786"/>
      <c r="U136" s="1786"/>
      <c r="V136" s="2262"/>
      <c r="W136" s="1786"/>
      <c r="X136" s="1786"/>
      <c r="Y136" s="1170"/>
      <c r="Z136" s="1786"/>
      <c r="AA136" s="1786"/>
      <c r="AB136" s="1786"/>
      <c r="AC136" s="1786"/>
      <c r="AD136" s="1786"/>
      <c r="AE136" s="2258"/>
      <c r="AF136" s="1192"/>
      <c r="AG136" s="1192"/>
      <c r="AH136" s="1192"/>
      <c r="AI136" s="1192"/>
      <c r="AJ136" s="2267">
        <v>11</v>
      </c>
    </row>
    <row s="35197" customFormat="1" customHeight="1" ht="11.549999999999999">
      <c r="A137" s="1613"/>
      <c r="B137" s="2262"/>
      <c r="C137" s="2262"/>
      <c r="D137" s="977"/>
      <c r="J137" s="4642"/>
      <c r="K137" s="4642"/>
      <c r="L137" s="4642"/>
      <c r="M137" s="4642"/>
      <c r="O137" s="1786"/>
      <c r="P137" s="2262"/>
      <c r="Q137" s="2262"/>
      <c r="R137" s="1786"/>
      <c r="S137" s="1786"/>
      <c r="T137" s="1786"/>
      <c r="U137" s="1786"/>
      <c r="V137" s="2262"/>
      <c r="W137" s="1786"/>
      <c r="X137" s="1786"/>
      <c r="Y137" s="1170"/>
      <c r="Z137" s="1786"/>
      <c r="AA137" s="1786"/>
      <c r="AB137" s="1786"/>
      <c r="AC137" s="1786"/>
      <c r="AD137" s="1786"/>
      <c r="AE137" s="2258"/>
      <c r="AF137" s="1192"/>
      <c r="AG137" s="1192"/>
      <c r="AH137" s="1192"/>
      <c r="AI137" s="1192"/>
      <c r="AJ137" s="2267">
        <v>11</v>
      </c>
    </row>
    <row s="35197" customFormat="1" customHeight="1" ht="11.549999999999999">
      <c r="A138" s="1613"/>
      <c r="B138" s="2262"/>
      <c r="C138" s="2262"/>
      <c r="D138" s="977"/>
      <c r="J138" s="4642"/>
      <c r="K138" s="4642"/>
      <c r="L138" s="4642"/>
      <c r="M138" s="4642"/>
      <c r="O138" s="1786"/>
      <c r="P138" s="2262"/>
      <c r="Q138" s="2262"/>
      <c r="R138" s="1786"/>
      <c r="S138" s="1786"/>
      <c r="T138" s="1786"/>
      <c r="U138" s="1786"/>
      <c r="V138" s="2262"/>
      <c r="W138" s="1786"/>
      <c r="X138" s="1786"/>
      <c r="Y138" s="1170"/>
      <c r="Z138" s="1786"/>
      <c r="AA138" s="1786"/>
      <c r="AB138" s="1786"/>
      <c r="AC138" s="1786"/>
      <c r="AD138" s="1786"/>
      <c r="AE138" s="2258"/>
      <c r="AF138" s="1192"/>
      <c r="AG138" s="1192"/>
      <c r="AH138" s="1192"/>
      <c r="AI138" s="1192"/>
      <c r="AJ138" s="2267">
        <v>11</v>
      </c>
    </row>
    <row s="35197" customFormat="1" customHeight="1" ht="11.549999999999999">
      <c r="A139" s="1613"/>
      <c r="B139" s="2262"/>
      <c r="C139" s="2262"/>
      <c r="D139" s="977"/>
      <c r="J139" s="4642"/>
      <c r="K139" s="4642"/>
      <c r="L139" s="4642"/>
      <c r="M139" s="4642"/>
      <c r="O139" s="1786"/>
      <c r="P139" s="2262"/>
      <c r="Q139" s="2262"/>
      <c r="R139" s="1786"/>
      <c r="S139" s="1786"/>
      <c r="T139" s="1786"/>
      <c r="U139" s="1786"/>
      <c r="V139" s="2262"/>
      <c r="W139" s="1786"/>
      <c r="X139" s="1786"/>
      <c r="Y139" s="1170"/>
      <c r="Z139" s="1786"/>
      <c r="AA139" s="1786"/>
      <c r="AB139" s="1786"/>
      <c r="AC139" s="1786"/>
      <c r="AD139" s="1786"/>
      <c r="AE139" s="2258"/>
      <c r="AF139" s="1192"/>
      <c r="AG139" s="1192"/>
      <c r="AH139" s="1192"/>
      <c r="AI139" s="1192"/>
      <c r="AJ139" s="2267">
        <v>11</v>
      </c>
    </row>
    <row s="35197" customFormat="1" customHeight="1" ht="11.549999999999999">
      <c r="A140" s="1613"/>
      <c r="B140" s="2262"/>
      <c r="C140" s="2262"/>
      <c r="D140" s="977"/>
      <c r="J140" s="4642"/>
      <c r="K140" s="4642"/>
      <c r="L140" s="4642"/>
      <c r="M140" s="4642"/>
      <c r="O140" s="1786"/>
      <c r="P140" s="2262"/>
      <c r="Q140" s="2262"/>
      <c r="R140" s="1786"/>
      <c r="S140" s="1786"/>
      <c r="T140" s="1786"/>
      <c r="U140" s="1786"/>
      <c r="V140" s="2262"/>
      <c r="W140" s="1786"/>
      <c r="X140" s="1786"/>
      <c r="Y140" s="1170"/>
      <c r="Z140" s="1786"/>
      <c r="AA140" s="1786"/>
      <c r="AB140" s="1786"/>
      <c r="AC140" s="1786"/>
      <c r="AD140" s="1786"/>
      <c r="AE140" s="2258"/>
      <c r="AF140" s="1192"/>
      <c r="AG140" s="1192"/>
      <c r="AH140" s="1192"/>
      <c r="AI140" s="1192"/>
      <c r="AJ140" s="2267">
        <v>11</v>
      </c>
    </row>
    <row s="35197" customFormat="1" customHeight="1" ht="11.549999999999999">
      <c r="A141" s="1613"/>
      <c r="B141" s="2262"/>
      <c r="C141" s="2262"/>
      <c r="D141" s="977"/>
      <c r="J141" s="4642"/>
      <c r="K141" s="4642"/>
      <c r="L141" s="4642"/>
      <c r="M141" s="4642"/>
      <c r="O141" s="1786"/>
      <c r="P141" s="2262"/>
      <c r="Q141" s="2262"/>
      <c r="R141" s="1786"/>
      <c r="S141" s="1786"/>
      <c r="T141" s="1786"/>
      <c r="U141" s="1786"/>
      <c r="V141" s="2262"/>
      <c r="W141" s="1786"/>
      <c r="X141" s="1786"/>
      <c r="Y141" s="1170"/>
      <c r="Z141" s="1786"/>
      <c r="AA141" s="1786"/>
      <c r="AB141" s="1786"/>
      <c r="AC141" s="1786"/>
      <c r="AD141" s="1786"/>
      <c r="AE141" s="2258"/>
      <c r="AF141" s="1192"/>
      <c r="AG141" s="1192"/>
      <c r="AH141" s="1192"/>
      <c r="AI141" s="1192"/>
      <c r="AJ141" s="2267">
        <v>11</v>
      </c>
    </row>
    <row s="35197" customFormat="1" customHeight="1" ht="11.549999999999999">
      <c r="A142" s="1613"/>
      <c r="B142" s="2262"/>
      <c r="C142" s="2262"/>
      <c r="D142" s="977"/>
      <c r="J142" s="4642"/>
      <c r="K142" s="4642"/>
      <c r="L142" s="4642"/>
      <c r="M142" s="4642"/>
      <c r="O142" s="1786"/>
      <c r="P142" s="2262"/>
      <c r="Q142" s="2262"/>
      <c r="R142" s="1786"/>
      <c r="S142" s="1786"/>
      <c r="T142" s="1786"/>
      <c r="U142" s="1786"/>
      <c r="V142" s="2262"/>
      <c r="W142" s="1786"/>
      <c r="X142" s="1786"/>
      <c r="Y142" s="1170"/>
      <c r="Z142" s="1786"/>
      <c r="AA142" s="1786"/>
      <c r="AB142" s="1786"/>
      <c r="AC142" s="1786"/>
      <c r="AD142" s="1786"/>
      <c r="AE142" s="2258"/>
      <c r="AF142" s="1192"/>
      <c r="AG142" s="1192"/>
      <c r="AH142" s="1192"/>
      <c r="AI142" s="1192"/>
      <c r="AJ142" s="2267">
        <v>11</v>
      </c>
    </row>
    <row s="35197" customFormat="1" customHeight="1" ht="11.549999999999999">
      <c r="A143" s="1613"/>
      <c r="B143" s="2262"/>
      <c r="C143" s="2262"/>
      <c r="D143" s="977"/>
      <c r="J143" s="4642"/>
      <c r="K143" s="4642"/>
      <c r="L143" s="4642"/>
      <c r="M143" s="4642"/>
      <c r="O143" s="1786"/>
      <c r="P143" s="2262"/>
      <c r="Q143" s="2262"/>
      <c r="R143" s="1786"/>
      <c r="S143" s="1786"/>
      <c r="T143" s="1786"/>
      <c r="U143" s="1786"/>
      <c r="V143" s="2262"/>
      <c r="W143" s="1786"/>
      <c r="X143" s="1786"/>
      <c r="Y143" s="1170"/>
      <c r="Z143" s="1786"/>
      <c r="AA143" s="1786"/>
      <c r="AB143" s="1786"/>
      <c r="AC143" s="1786"/>
      <c r="AD143" s="1786"/>
      <c r="AE143" s="2258"/>
      <c r="AF143" s="1192"/>
      <c r="AG143" s="1192"/>
      <c r="AH143" s="1192"/>
      <c r="AI143" s="1192"/>
      <c r="AJ143" s="2267">
        <v>11</v>
      </c>
    </row>
    <row s="35197" customFormat="1" customHeight="1" ht="11.549999999999999">
      <c r="A144" s="1613"/>
      <c r="B144" s="2262"/>
      <c r="C144" s="2262"/>
      <c r="D144" s="977"/>
      <c r="J144" s="4642"/>
      <c r="K144" s="4642"/>
      <c r="L144" s="4642"/>
      <c r="M144" s="4642"/>
      <c r="O144" s="1786"/>
      <c r="P144" s="2262"/>
      <c r="Q144" s="2262"/>
      <c r="R144" s="1786"/>
      <c r="S144" s="1786"/>
      <c r="T144" s="1786"/>
      <c r="U144" s="1786"/>
      <c r="V144" s="2262"/>
      <c r="W144" s="1786"/>
      <c r="X144" s="1786"/>
      <c r="Y144" s="1170"/>
      <c r="Z144" s="1786"/>
      <c r="AA144" s="1786"/>
      <c r="AB144" s="1786"/>
      <c r="AC144" s="1786"/>
      <c r="AD144" s="1786"/>
      <c r="AE144" s="2258"/>
      <c r="AF144" s="1192"/>
      <c r="AG144" s="1192"/>
      <c r="AH144" s="1192"/>
      <c r="AI144" s="1192"/>
      <c r="AJ144" s="2267">
        <v>11</v>
      </c>
    </row>
    <row s="35197" customFormat="1" customHeight="1" ht="11.549999999999999">
      <c r="A145" s="1613"/>
      <c r="B145" s="2262"/>
      <c r="C145" s="2262"/>
      <c r="D145" s="977"/>
      <c r="J145" s="4642"/>
      <c r="K145" s="4642"/>
      <c r="L145" s="4642"/>
      <c r="M145" s="4642"/>
      <c r="O145" s="1786"/>
      <c r="P145" s="2262"/>
      <c r="Q145" s="2262"/>
      <c r="R145" s="1786"/>
      <c r="S145" s="1786"/>
      <c r="T145" s="1786"/>
      <c r="U145" s="1786"/>
      <c r="V145" s="2262"/>
      <c r="W145" s="1786"/>
      <c r="X145" s="1786"/>
      <c r="Y145" s="1170"/>
      <c r="Z145" s="1786"/>
      <c r="AA145" s="1786"/>
      <c r="AB145" s="1786"/>
      <c r="AC145" s="1786"/>
      <c r="AD145" s="1786"/>
      <c r="AE145" s="2258"/>
      <c r="AF145" s="1192"/>
      <c r="AG145" s="1192"/>
      <c r="AH145" s="1192"/>
      <c r="AI145" s="1192"/>
      <c r="AJ145" s="2267">
        <v>11</v>
      </c>
    </row>
    <row s="35197" customFormat="1" customHeight="1" ht="11.549999999999999">
      <c r="A146" s="1613"/>
      <c r="B146" s="2262"/>
      <c r="C146" s="2262"/>
      <c r="D146" s="977"/>
      <c r="J146" s="4642"/>
      <c r="K146" s="4642"/>
      <c r="L146" s="4642"/>
      <c r="M146" s="4642"/>
      <c r="O146" s="1786"/>
      <c r="P146" s="2262"/>
      <c r="Q146" s="2262"/>
      <c r="R146" s="1786"/>
      <c r="S146" s="1786"/>
      <c r="T146" s="1786"/>
      <c r="U146" s="1786"/>
      <c r="V146" s="2262"/>
      <c r="W146" s="1786"/>
      <c r="X146" s="1786"/>
      <c r="Y146" s="1170"/>
      <c r="Z146" s="1786"/>
      <c r="AA146" s="1786"/>
      <c r="AB146" s="1786"/>
      <c r="AC146" s="1786"/>
      <c r="AD146" s="1786"/>
      <c r="AE146" s="2258"/>
      <c r="AF146" s="1192"/>
      <c r="AG146" s="1192"/>
      <c r="AH146" s="1192"/>
      <c r="AI146" s="1192"/>
      <c r="AJ146" s="2267">
        <v>11</v>
      </c>
    </row>
    <row s="35197" customFormat="1" customHeight="1" ht="11.549999999999999">
      <c r="A147" s="1613"/>
      <c r="B147" s="2262"/>
      <c r="C147" s="2262"/>
      <c r="D147" s="977"/>
      <c r="J147" s="4642"/>
      <c r="K147" s="4642"/>
      <c r="L147" s="4642"/>
      <c r="M147" s="4642"/>
      <c r="O147" s="1786"/>
      <c r="P147" s="2262"/>
      <c r="Q147" s="2262"/>
      <c r="R147" s="1786"/>
      <c r="S147" s="1786"/>
      <c r="T147" s="1786"/>
      <c r="U147" s="1786"/>
      <c r="V147" s="2262"/>
      <c r="W147" s="1786"/>
      <c r="X147" s="1786"/>
      <c r="Y147" s="1170"/>
      <c r="Z147" s="1786"/>
      <c r="AA147" s="1786"/>
      <c r="AB147" s="1786"/>
      <c r="AC147" s="1786"/>
      <c r="AD147" s="1786"/>
      <c r="AE147" s="2258"/>
      <c r="AF147" s="1192"/>
      <c r="AG147" s="1192"/>
      <c r="AH147" s="1192"/>
      <c r="AI147" s="1192"/>
      <c r="AJ147" s="2267">
        <v>11</v>
      </c>
    </row>
    <row s="35197" customFormat="1" customHeight="1" ht="11.549999999999999">
      <c r="A148" s="1613"/>
      <c r="B148" s="2262"/>
      <c r="C148" s="2262"/>
      <c r="D148" s="977"/>
      <c r="J148" s="4642"/>
      <c r="K148" s="4642"/>
      <c r="L148" s="4642"/>
      <c r="M148" s="4642"/>
      <c r="O148" s="1786"/>
      <c r="P148" s="2262"/>
      <c r="Q148" s="2262"/>
      <c r="R148" s="1786"/>
      <c r="S148" s="1786"/>
      <c r="T148" s="1786"/>
      <c r="U148" s="1786"/>
      <c r="V148" s="2262"/>
      <c r="W148" s="1786"/>
      <c r="X148" s="1786"/>
      <c r="Y148" s="1170"/>
      <c r="Z148" s="1786"/>
      <c r="AA148" s="1786"/>
      <c r="AB148" s="1786"/>
      <c r="AC148" s="1786"/>
      <c r="AD148" s="1786"/>
      <c r="AE148" s="2258"/>
      <c r="AF148" s="1192"/>
      <c r="AG148" s="1192"/>
      <c r="AH148" s="1192"/>
      <c r="AI148" s="1192"/>
      <c r="AJ148" s="2267">
        <v>11</v>
      </c>
    </row>
    <row s="35197" customFormat="1" customHeight="1" ht="11.549999999999999">
      <c r="A149" s="1613"/>
      <c r="B149" s="2262"/>
      <c r="C149" s="2262"/>
      <c r="D149" s="977"/>
      <c r="J149" s="4642"/>
      <c r="K149" s="4642"/>
      <c r="L149" s="4642"/>
      <c r="M149" s="4642"/>
      <c r="O149" s="1786"/>
      <c r="P149" s="2262"/>
      <c r="Q149" s="2262"/>
      <c r="R149" s="1786"/>
      <c r="S149" s="1786"/>
      <c r="T149" s="1786"/>
      <c r="U149" s="1786"/>
      <c r="V149" s="2262"/>
      <c r="W149" s="1786"/>
      <c r="X149" s="1786"/>
      <c r="Y149" s="1170"/>
      <c r="Z149" s="1786"/>
      <c r="AA149" s="1786"/>
      <c r="AB149" s="1786"/>
      <c r="AC149" s="1786"/>
      <c r="AD149" s="1786"/>
      <c r="AE149" s="2258"/>
      <c r="AF149" s="1192"/>
      <c r="AG149" s="1192"/>
      <c r="AH149" s="1192"/>
      <c r="AI149" s="1192"/>
      <c r="AJ149" s="2267">
        <v>11</v>
      </c>
    </row>
    <row s="35197" customFormat="1" customHeight="1" ht="11.549999999999999">
      <c r="A150" s="1613"/>
      <c r="B150" s="2262"/>
      <c r="C150" s="2262"/>
      <c r="D150" s="977"/>
      <c r="J150" s="4642"/>
      <c r="K150" s="4642"/>
      <c r="L150" s="4642"/>
      <c r="M150" s="4642"/>
      <c r="O150" s="1786"/>
      <c r="P150" s="2262"/>
      <c r="Q150" s="2262"/>
      <c r="R150" s="1786"/>
      <c r="S150" s="1786"/>
      <c r="T150" s="1786"/>
      <c r="U150" s="1786"/>
      <c r="V150" s="2262"/>
      <c r="W150" s="1786"/>
      <c r="X150" s="1786"/>
      <c r="Y150" s="1170"/>
      <c r="Z150" s="1786"/>
      <c r="AA150" s="1786"/>
      <c r="AB150" s="1786"/>
      <c r="AC150" s="1786"/>
      <c r="AD150" s="1786"/>
      <c r="AE150" s="2258"/>
      <c r="AF150" s="1192"/>
      <c r="AG150" s="1192"/>
      <c r="AH150" s="1192"/>
      <c r="AI150" s="1192"/>
      <c r="AJ150" s="2267">
        <v>11</v>
      </c>
    </row>
    <row s="35197" customFormat="1" customHeight="1" ht="11.549999999999999">
      <c r="A151" s="1613"/>
      <c r="B151" s="2262"/>
      <c r="C151" s="2262"/>
      <c r="D151" s="977"/>
      <c r="J151" s="4642"/>
      <c r="K151" s="4642"/>
      <c r="L151" s="4642"/>
      <c r="M151" s="4642"/>
      <c r="O151" s="1786"/>
      <c r="P151" s="2262"/>
      <c r="Q151" s="2262"/>
      <c r="R151" s="1786"/>
      <c r="S151" s="1786"/>
      <c r="T151" s="1786"/>
      <c r="U151" s="1786"/>
      <c r="V151" s="2262"/>
      <c r="W151" s="1786"/>
      <c r="X151" s="1786"/>
      <c r="Y151" s="1170"/>
      <c r="Z151" s="1786"/>
      <c r="AA151" s="1786"/>
      <c r="AB151" s="1786"/>
      <c r="AC151" s="1786"/>
      <c r="AD151" s="1786"/>
      <c r="AE151" s="2258"/>
      <c r="AF151" s="1192"/>
      <c r="AG151" s="1192"/>
      <c r="AH151" s="1192"/>
      <c r="AI151" s="1192"/>
      <c r="AJ151" s="2267">
        <v>11</v>
      </c>
    </row>
    <row s="35197" customFormat="1" customHeight="1" ht="11.549999999999999">
      <c r="A152" s="1613"/>
      <c r="B152" s="2262"/>
      <c r="C152" s="2262"/>
      <c r="D152" s="977"/>
      <c r="J152" s="4642"/>
      <c r="K152" s="4642"/>
      <c r="L152" s="4642"/>
      <c r="M152" s="4642"/>
      <c r="O152" s="1786"/>
      <c r="P152" s="2262"/>
      <c r="Q152" s="2262"/>
      <c r="R152" s="1786"/>
      <c r="S152" s="1786"/>
      <c r="T152" s="1786"/>
      <c r="U152" s="1786"/>
      <c r="V152" s="2262"/>
      <c r="W152" s="1786"/>
      <c r="X152" s="1786"/>
      <c r="Y152" s="1170"/>
      <c r="Z152" s="1786"/>
      <c r="AA152" s="1786"/>
      <c r="AB152" s="1786"/>
      <c r="AC152" s="1786"/>
      <c r="AD152" s="1786"/>
      <c r="AE152" s="2258"/>
      <c r="AF152" s="1192"/>
      <c r="AG152" s="1192"/>
      <c r="AH152" s="1192"/>
      <c r="AI152" s="1192"/>
      <c r="AJ152" s="2267">
        <v>11</v>
      </c>
    </row>
    <row s="35197" customFormat="1" customHeight="1" ht="11.549999999999999">
      <c r="A153" s="1613"/>
      <c r="B153" s="2262"/>
      <c r="C153" s="2262"/>
      <c r="D153" s="977"/>
      <c r="J153" s="4642"/>
      <c r="K153" s="4642"/>
      <c r="L153" s="4642"/>
      <c r="M153" s="4642"/>
      <c r="O153" s="1786"/>
      <c r="P153" s="2262"/>
      <c r="Q153" s="2262"/>
      <c r="R153" s="1786"/>
      <c r="S153" s="1786"/>
      <c r="T153" s="1786"/>
      <c r="U153" s="1786"/>
      <c r="V153" s="2262"/>
      <c r="W153" s="1786"/>
      <c r="X153" s="1786"/>
      <c r="Y153" s="1170"/>
      <c r="Z153" s="1786"/>
      <c r="AA153" s="1786"/>
      <c r="AB153" s="1786"/>
      <c r="AC153" s="1786"/>
      <c r="AD153" s="1786"/>
      <c r="AE153" s="2258"/>
      <c r="AF153" s="1192"/>
      <c r="AG153" s="1192"/>
      <c r="AH153" s="1192"/>
      <c r="AI153" s="1192"/>
      <c r="AJ153" s="2267">
        <v>11</v>
      </c>
    </row>
    <row s="35197" customFormat="1" customHeight="1" ht="11.549999999999999">
      <c r="A154" s="1613"/>
      <c r="B154" s="2262"/>
      <c r="C154" s="2262"/>
      <c r="D154" s="977"/>
      <c r="J154" s="4642"/>
      <c r="K154" s="4642"/>
      <c r="L154" s="4642"/>
      <c r="M154" s="4642"/>
      <c r="O154" s="1786"/>
      <c r="P154" s="2262"/>
      <c r="Q154" s="2262"/>
      <c r="R154" s="1786"/>
      <c r="S154" s="1786"/>
      <c r="T154" s="1786"/>
      <c r="U154" s="1786"/>
      <c r="V154" s="2262"/>
      <c r="W154" s="1786"/>
      <c r="X154" s="1786"/>
      <c r="Y154" s="1170"/>
      <c r="Z154" s="1786"/>
      <c r="AA154" s="1786"/>
      <c r="AB154" s="1786"/>
      <c r="AC154" s="1786"/>
      <c r="AD154" s="1786"/>
      <c r="AE154" s="2258"/>
      <c r="AF154" s="1192"/>
      <c r="AG154" s="1192"/>
      <c r="AH154" s="1192"/>
      <c r="AI154" s="1192"/>
      <c r="AJ154" s="2267">
        <v>11</v>
      </c>
    </row>
    <row s="35197" customFormat="1" customHeight="1" ht="11.549999999999999">
      <c r="A155" s="1613"/>
      <c r="B155" s="2262"/>
      <c r="C155" s="2262"/>
      <c r="D155" s="977"/>
      <c r="J155" s="4642"/>
      <c r="K155" s="4642"/>
      <c r="L155" s="4642"/>
      <c r="M155" s="4642"/>
      <c r="O155" s="1786"/>
      <c r="P155" s="2262"/>
      <c r="Q155" s="2262"/>
      <c r="R155" s="1786"/>
      <c r="S155" s="1786"/>
      <c r="T155" s="1786"/>
      <c r="U155" s="1786"/>
      <c r="V155" s="2262"/>
      <c r="W155" s="1786"/>
      <c r="X155" s="1786"/>
      <c r="Y155" s="1170"/>
      <c r="Z155" s="1786"/>
      <c r="AA155" s="1786"/>
      <c r="AB155" s="1786"/>
      <c r="AC155" s="1786"/>
      <c r="AD155" s="1786"/>
      <c r="AE155" s="2258"/>
      <c r="AF155" s="1192"/>
      <c r="AG155" s="1192"/>
      <c r="AH155" s="1192"/>
      <c r="AI155" s="1192"/>
      <c r="AJ155" s="2267">
        <v>11</v>
      </c>
    </row>
    <row s="35197" customFormat="1" customHeight="1" ht="11.549999999999999">
      <c r="A156" s="1613"/>
      <c r="B156" s="2262"/>
      <c r="C156" s="2262"/>
      <c r="D156" s="977"/>
      <c r="J156" s="4642"/>
      <c r="K156" s="4642"/>
      <c r="L156" s="4642"/>
      <c r="M156" s="4642"/>
      <c r="O156" s="1786"/>
      <c r="P156" s="2262"/>
      <c r="Q156" s="2262"/>
      <c r="R156" s="1786"/>
      <c r="S156" s="1786"/>
      <c r="T156" s="1786"/>
      <c r="U156" s="1786"/>
      <c r="V156" s="2262"/>
      <c r="W156" s="1786"/>
      <c r="X156" s="1786"/>
      <c r="Y156" s="1170"/>
      <c r="Z156" s="1786"/>
      <c r="AA156" s="1786"/>
      <c r="AB156" s="1786"/>
      <c r="AC156" s="1786"/>
      <c r="AD156" s="1786"/>
      <c r="AE156" s="2258"/>
      <c r="AF156" s="1192"/>
      <c r="AG156" s="1192"/>
      <c r="AH156" s="1192"/>
      <c r="AI156" s="1192"/>
      <c r="AJ156" s="2267">
        <v>11</v>
      </c>
    </row>
    <row s="35197" customFormat="1" customHeight="1" ht="11.549999999999999">
      <c r="A157" s="1613"/>
      <c r="B157" s="2262"/>
      <c r="C157" s="2262"/>
      <c r="D157" s="977"/>
      <c r="J157" s="4642"/>
      <c r="K157" s="4642"/>
      <c r="L157" s="4642"/>
      <c r="M157" s="4642"/>
      <c r="O157" s="1786"/>
      <c r="P157" s="2262"/>
      <c r="Q157" s="2262"/>
      <c r="R157" s="1786"/>
      <c r="S157" s="1786"/>
      <c r="T157" s="1786"/>
      <c r="U157" s="1786"/>
      <c r="V157" s="2262"/>
      <c r="W157" s="1786"/>
      <c r="X157" s="1786"/>
      <c r="Y157" s="1170"/>
      <c r="Z157" s="1786"/>
      <c r="AA157" s="1786"/>
      <c r="AB157" s="1786"/>
      <c r="AC157" s="1786"/>
      <c r="AD157" s="1786"/>
      <c r="AE157" s="2258"/>
      <c r="AF157" s="1192"/>
      <c r="AG157" s="1192"/>
      <c r="AH157" s="1192"/>
      <c r="AI157" s="1192"/>
      <c r="AJ157" s="2267">
        <v>11</v>
      </c>
    </row>
    <row s="35197" customFormat="1" customHeight="1" ht="11.549999999999999">
      <c r="A158" s="1613"/>
      <c r="B158" s="2262"/>
      <c r="C158" s="2262"/>
      <c r="D158" s="977"/>
      <c r="J158" s="4642"/>
      <c r="K158" s="4642"/>
      <c r="L158" s="4642"/>
      <c r="M158" s="4642"/>
      <c r="O158" s="1786"/>
      <c r="P158" s="2262"/>
      <c r="Q158" s="2262"/>
      <c r="R158" s="1786"/>
      <c r="S158" s="1786"/>
      <c r="T158" s="1786"/>
      <c r="U158" s="1786"/>
      <c r="V158" s="2262"/>
      <c r="W158" s="1786"/>
      <c r="X158" s="1786"/>
      <c r="Y158" s="1170"/>
      <c r="Z158" s="1786"/>
      <c r="AA158" s="1786"/>
      <c r="AB158" s="1786"/>
      <c r="AC158" s="1786"/>
      <c r="AD158" s="1786"/>
      <c r="AE158" s="2258"/>
      <c r="AF158" s="1192"/>
      <c r="AG158" s="1192"/>
      <c r="AH158" s="1192"/>
      <c r="AI158" s="1192"/>
      <c r="AJ158" s="2267">
        <v>11</v>
      </c>
    </row>
    <row s="35197" customFormat="1" customHeight="1" ht="11.549999999999999">
      <c r="A159" s="1613"/>
      <c r="B159" s="2262"/>
      <c r="C159" s="2262"/>
      <c r="D159" s="977"/>
      <c r="J159" s="4642"/>
      <c r="K159" s="4642"/>
      <c r="L159" s="4642"/>
      <c r="M159" s="4642"/>
      <c r="O159" s="1786"/>
      <c r="P159" s="2262"/>
      <c r="Q159" s="2262"/>
      <c r="R159" s="1786"/>
      <c r="S159" s="1786"/>
      <c r="T159" s="1786"/>
      <c r="U159" s="1786"/>
      <c r="V159" s="2262"/>
      <c r="W159" s="1786"/>
      <c r="X159" s="1786"/>
      <c r="Y159" s="1170"/>
      <c r="Z159" s="1786"/>
      <c r="AA159" s="1786"/>
      <c r="AB159" s="1786"/>
      <c r="AC159" s="1786"/>
      <c r="AD159" s="1786"/>
      <c r="AE159" s="2258"/>
      <c r="AF159" s="1192"/>
      <c r="AG159" s="1192"/>
      <c r="AH159" s="1192"/>
      <c r="AI159" s="1192"/>
      <c r="AJ159" s="2267">
        <v>11</v>
      </c>
    </row>
    <row s="35197" customFormat="1" customHeight="1" ht="11.549999999999999">
      <c r="A160" s="1613"/>
      <c r="B160" s="2262"/>
      <c r="C160" s="2262"/>
      <c r="D160" s="977"/>
      <c r="J160" s="4642"/>
      <c r="K160" s="4642"/>
      <c r="L160" s="4642"/>
      <c r="M160" s="4642"/>
      <c r="O160" s="1786"/>
      <c r="P160" s="2262"/>
      <c r="Q160" s="2262"/>
      <c r="R160" s="1786"/>
      <c r="S160" s="1786"/>
      <c r="T160" s="1786"/>
      <c r="U160" s="1786"/>
      <c r="V160" s="2262"/>
      <c r="W160" s="1786"/>
      <c r="X160" s="1786"/>
      <c r="Y160" s="1170"/>
      <c r="Z160" s="1786"/>
      <c r="AA160" s="1786"/>
      <c r="AB160" s="1786"/>
      <c r="AC160" s="1786"/>
      <c r="AD160" s="1786"/>
      <c r="AE160" s="2258"/>
      <c r="AF160" s="1192"/>
      <c r="AG160" s="1192"/>
      <c r="AH160" s="1192"/>
      <c r="AI160" s="1192"/>
      <c r="AJ160" s="2267">
        <v>11</v>
      </c>
    </row>
    <row s="35197" customFormat="1" customHeight="1" ht="11.549999999999999">
      <c r="A161" s="1613"/>
      <c r="B161" s="2262"/>
      <c r="C161" s="2262"/>
      <c r="D161" s="977"/>
      <c r="J161" s="4642"/>
      <c r="K161" s="4642"/>
      <c r="L161" s="4642"/>
      <c r="M161" s="4642"/>
      <c r="O161" s="1786"/>
      <c r="P161" s="2262"/>
      <c r="Q161" s="2262"/>
      <c r="R161" s="1786"/>
      <c r="S161" s="1786"/>
      <c r="T161" s="1786"/>
      <c r="U161" s="1786"/>
      <c r="V161" s="2262"/>
      <c r="W161" s="1786"/>
      <c r="X161" s="1786"/>
      <c r="Y161" s="1170"/>
      <c r="Z161" s="1786"/>
      <c r="AA161" s="1786"/>
      <c r="AB161" s="1786"/>
      <c r="AC161" s="1786"/>
      <c r="AD161" s="1786"/>
      <c r="AE161" s="2258"/>
      <c r="AF161" s="1192"/>
      <c r="AG161" s="1192"/>
      <c r="AH161" s="1192"/>
      <c r="AI161" s="1192"/>
      <c r="AJ161" s="2267">
        <v>11</v>
      </c>
    </row>
    <row s="35197" customFormat="1" customHeight="1" ht="11.549999999999999">
      <c r="A162" s="1613"/>
      <c r="B162" s="2262"/>
      <c r="C162" s="2262"/>
      <c r="D162" s="977"/>
      <c r="J162" s="4642"/>
      <c r="K162" s="4642"/>
      <c r="L162" s="4642"/>
      <c r="M162" s="4642"/>
      <c r="O162" s="1786"/>
      <c r="P162" s="2262"/>
      <c r="Q162" s="2262"/>
      <c r="R162" s="1786"/>
      <c r="S162" s="1786"/>
      <c r="T162" s="1786"/>
      <c r="U162" s="1786"/>
      <c r="V162" s="2262"/>
      <c r="W162" s="1786"/>
      <c r="X162" s="1786"/>
      <c r="Y162" s="1170"/>
      <c r="Z162" s="1786"/>
      <c r="AA162" s="1786"/>
      <c r="AB162" s="1786"/>
      <c r="AC162" s="1786"/>
      <c r="AD162" s="1786"/>
      <c r="AE162" s="2258"/>
      <c r="AF162" s="1192"/>
      <c r="AG162" s="1192"/>
      <c r="AH162" s="1192"/>
      <c r="AI162" s="1192"/>
      <c r="AJ162" s="2267">
        <v>11</v>
      </c>
    </row>
    <row s="35197" customFormat="1" customHeight="1" ht="11.549999999999999">
      <c r="A163" s="1613"/>
      <c r="B163" s="2262"/>
      <c r="C163" s="2262"/>
      <c r="D163" s="977"/>
      <c r="J163" s="4642"/>
      <c r="K163" s="4642"/>
      <c r="L163" s="4642"/>
      <c r="M163" s="4642"/>
      <c r="O163" s="1786"/>
      <c r="P163" s="2262"/>
      <c r="Q163" s="2262"/>
      <c r="R163" s="1786"/>
      <c r="S163" s="1786"/>
      <c r="T163" s="1786"/>
      <c r="U163" s="1786"/>
      <c r="V163" s="2262"/>
      <c r="W163" s="1786"/>
      <c r="X163" s="1786"/>
      <c r="Y163" s="1170"/>
      <c r="Z163" s="1786"/>
      <c r="AA163" s="1786"/>
      <c r="AB163" s="1786"/>
      <c r="AC163" s="1786"/>
      <c r="AD163" s="1786"/>
      <c r="AE163" s="2258"/>
      <c r="AF163" s="1192"/>
      <c r="AG163" s="1192"/>
      <c r="AH163" s="1192"/>
      <c r="AI163" s="1192"/>
      <c r="AJ163" s="2267">
        <v>11</v>
      </c>
    </row>
    <row s="35197" customFormat="1" customHeight="1" ht="11.549999999999999">
      <c r="A164" s="1613"/>
      <c r="B164" s="2262"/>
      <c r="C164" s="2262"/>
      <c r="D164" s="977"/>
      <c r="J164" s="4642"/>
      <c r="K164" s="4642"/>
      <c r="L164" s="4642"/>
      <c r="M164" s="4642"/>
      <c r="O164" s="1786"/>
      <c r="P164" s="2262"/>
      <c r="Q164" s="2262"/>
      <c r="R164" s="1786"/>
      <c r="S164" s="1786"/>
      <c r="T164" s="1786"/>
      <c r="U164" s="1786"/>
      <c r="V164" s="2262"/>
      <c r="W164" s="1786"/>
      <c r="X164" s="1786"/>
      <c r="Y164" s="1170"/>
      <c r="Z164" s="1786"/>
      <c r="AA164" s="1786"/>
      <c r="AB164" s="1786"/>
      <c r="AC164" s="1786"/>
      <c r="AD164" s="1786"/>
      <c r="AE164" s="2258"/>
      <c r="AF164" s="1192"/>
      <c r="AG164" s="1192"/>
      <c r="AH164" s="1192"/>
      <c r="AI164" s="1192"/>
      <c r="AJ164" s="2267">
        <v>11</v>
      </c>
    </row>
    <row s="35197" customFormat="1" customHeight="1" ht="11.549999999999999">
      <c r="A165" s="1613"/>
      <c r="B165" s="2262"/>
      <c r="C165" s="2262"/>
      <c r="D165" s="977"/>
      <c r="J165" s="4642"/>
      <c r="K165" s="4642"/>
      <c r="L165" s="4642"/>
      <c r="M165" s="4642"/>
      <c r="O165" s="1786"/>
      <c r="P165" s="2262"/>
      <c r="Q165" s="2262"/>
      <c r="R165" s="1786"/>
      <c r="S165" s="1786"/>
      <c r="T165" s="1786"/>
      <c r="U165" s="1786"/>
      <c r="V165" s="2262"/>
      <c r="W165" s="1786"/>
      <c r="X165" s="1786"/>
      <c r="Y165" s="1170"/>
      <c r="Z165" s="1786"/>
      <c r="AA165" s="1786"/>
      <c r="AB165" s="1786"/>
      <c r="AC165" s="1786"/>
      <c r="AD165" s="1786"/>
      <c r="AE165" s="2258"/>
      <c r="AF165" s="1192"/>
      <c r="AG165" s="1192"/>
      <c r="AH165" s="1192"/>
      <c r="AI165" s="1192"/>
      <c r="AJ165" s="2267">
        <v>11</v>
      </c>
    </row>
    <row s="35197" customFormat="1" customHeight="1" ht="11.549999999999999">
      <c r="A166" s="1613"/>
      <c r="B166" s="2262"/>
      <c r="C166" s="2262"/>
      <c r="D166" s="977"/>
      <c r="J166" s="4642"/>
      <c r="K166" s="4642"/>
      <c r="L166" s="4642"/>
      <c r="M166" s="4642"/>
      <c r="O166" s="1786"/>
      <c r="P166" s="2262"/>
      <c r="Q166" s="2262"/>
      <c r="R166" s="1786"/>
      <c r="S166" s="1786"/>
      <c r="T166" s="1786"/>
      <c r="U166" s="1786"/>
      <c r="V166" s="2262"/>
      <c r="W166" s="1786"/>
      <c r="X166" s="1786"/>
      <c r="Y166" s="1170"/>
      <c r="Z166" s="1786"/>
      <c r="AA166" s="1786"/>
      <c r="AB166" s="1786"/>
      <c r="AC166" s="1786"/>
      <c r="AD166" s="1786"/>
      <c r="AE166" s="2258"/>
      <c r="AF166" s="1192"/>
      <c r="AG166" s="1192"/>
      <c r="AH166" s="1192"/>
      <c r="AI166" s="1192"/>
      <c r="AJ166" s="2267">
        <v>11</v>
      </c>
    </row>
    <row s="35197" customFormat="1" customHeight="1" ht="11.549999999999999">
      <c r="A167" s="1613"/>
      <c r="B167" s="2262"/>
      <c r="C167" s="2262"/>
      <c r="D167" s="977"/>
      <c r="J167" s="4642"/>
      <c r="K167" s="4642"/>
      <c r="L167" s="4642"/>
      <c r="M167" s="4642"/>
      <c r="O167" s="1786"/>
      <c r="P167" s="2262"/>
      <c r="Q167" s="2262"/>
      <c r="R167" s="1786"/>
      <c r="S167" s="1786"/>
      <c r="T167" s="1786"/>
      <c r="U167" s="1786"/>
      <c r="V167" s="2262"/>
      <c r="W167" s="1786"/>
      <c r="X167" s="1786"/>
      <c r="Y167" s="1170"/>
      <c r="Z167" s="1786"/>
      <c r="AA167" s="1786"/>
      <c r="AB167" s="1786"/>
      <c r="AC167" s="1786"/>
      <c r="AD167" s="1786"/>
      <c r="AE167" s="2258"/>
      <c r="AF167" s="1192"/>
      <c r="AG167" s="1192"/>
      <c r="AH167" s="1192"/>
      <c r="AI167" s="1192"/>
      <c r="AJ167" s="2267">
        <v>11</v>
      </c>
    </row>
    <row s="35197" customFormat="1" customHeight="1" ht="11.549999999999999">
      <c r="A168" s="1613"/>
      <c r="B168" s="2262"/>
      <c r="C168" s="2262"/>
      <c r="D168" s="977"/>
      <c r="J168" s="4642"/>
      <c r="K168" s="4642"/>
      <c r="L168" s="4642"/>
      <c r="M168" s="4642"/>
      <c r="O168" s="1786"/>
      <c r="P168" s="2262"/>
      <c r="Q168" s="2262"/>
      <c r="R168" s="1786"/>
      <c r="S168" s="1786"/>
      <c r="T168" s="1786"/>
      <c r="U168" s="1786"/>
      <c r="V168" s="2262"/>
      <c r="W168" s="1786"/>
      <c r="X168" s="1786"/>
      <c r="Y168" s="1170"/>
      <c r="Z168" s="1786"/>
      <c r="AA168" s="1786"/>
      <c r="AB168" s="1786"/>
      <c r="AC168" s="1786"/>
      <c r="AD168" s="1786"/>
      <c r="AE168" s="2258"/>
      <c r="AF168" s="1192"/>
      <c r="AG168" s="1192"/>
      <c r="AH168" s="1192"/>
      <c r="AI168" s="1192"/>
      <c r="AJ168" s="2267">
        <v>11</v>
      </c>
    </row>
    <row s="35197" customFormat="1" customHeight="1" ht="11.549999999999999">
      <c r="A169" s="1613"/>
      <c r="B169" s="2262"/>
      <c r="C169" s="2262"/>
      <c r="D169" s="977"/>
      <c r="J169" s="4642"/>
      <c r="K169" s="4642"/>
      <c r="L169" s="4642"/>
      <c r="M169" s="4642"/>
      <c r="O169" s="1786"/>
      <c r="P169" s="2262"/>
      <c r="Q169" s="2262"/>
      <c r="R169" s="1786"/>
      <c r="S169" s="1786"/>
      <c r="T169" s="1786"/>
      <c r="U169" s="1786"/>
      <c r="V169" s="2262"/>
      <c r="W169" s="1786"/>
      <c r="X169" s="1786"/>
      <c r="Y169" s="1170"/>
      <c r="Z169" s="1786"/>
      <c r="AA169" s="1786"/>
      <c r="AB169" s="1786"/>
      <c r="AC169" s="1786"/>
      <c r="AD169" s="1786"/>
      <c r="AE169" s="2258"/>
      <c r="AF169" s="1192"/>
      <c r="AG169" s="1192"/>
      <c r="AH169" s="1192"/>
      <c r="AI169" s="1192"/>
      <c r="AJ169" s="2267">
        <v>11</v>
      </c>
    </row>
    <row s="35197" customFormat="1" customHeight="1" ht="11.549999999999999">
      <c r="A170" s="1613"/>
      <c r="B170" s="2262"/>
      <c r="C170" s="2262"/>
      <c r="D170" s="977"/>
      <c r="J170" s="4642"/>
      <c r="K170" s="4642"/>
      <c r="L170" s="4642"/>
      <c r="M170" s="4642"/>
      <c r="O170" s="1786"/>
      <c r="P170" s="2262"/>
      <c r="Q170" s="2262"/>
      <c r="R170" s="1786"/>
      <c r="S170" s="1786"/>
      <c r="T170" s="1786"/>
      <c r="U170" s="1786"/>
      <c r="V170" s="2262"/>
      <c r="W170" s="1786"/>
      <c r="X170" s="1786"/>
      <c r="Y170" s="1170"/>
      <c r="Z170" s="1786"/>
      <c r="AA170" s="1786"/>
      <c r="AB170" s="1786"/>
      <c r="AC170" s="1786"/>
      <c r="AD170" s="1786"/>
      <c r="AE170" s="2258"/>
      <c r="AF170" s="1192"/>
      <c r="AG170" s="1192"/>
      <c r="AH170" s="1192"/>
      <c r="AI170" s="1192"/>
      <c r="AJ170" s="2267">
        <v>11</v>
      </c>
    </row>
    <row s="35197" customFormat="1" customHeight="1" ht="11.549999999999999">
      <c r="A171" s="1613"/>
      <c r="B171" s="2262"/>
      <c r="C171" s="2262"/>
      <c r="D171" s="977"/>
      <c r="J171" s="4642"/>
      <c r="K171" s="4642"/>
      <c r="L171" s="4642"/>
      <c r="M171" s="4642"/>
      <c r="O171" s="1786"/>
      <c r="P171" s="2262"/>
      <c r="Q171" s="2262"/>
      <c r="R171" s="1786"/>
      <c r="S171" s="1786"/>
      <c r="T171" s="1786"/>
      <c r="U171" s="1786"/>
      <c r="V171" s="2262"/>
      <c r="W171" s="1786"/>
      <c r="X171" s="1786"/>
      <c r="Y171" s="1170"/>
      <c r="Z171" s="1786"/>
      <c r="AA171" s="1786"/>
      <c r="AB171" s="1786"/>
      <c r="AC171" s="1786"/>
      <c r="AD171" s="1786"/>
      <c r="AE171" s="2258"/>
      <c r="AF171" s="1192"/>
      <c r="AG171" s="1192"/>
      <c r="AH171" s="1192"/>
      <c r="AI171" s="1192"/>
      <c r="AJ171" s="2267">
        <v>11</v>
      </c>
    </row>
    <row s="35197" customFormat="1" customHeight="1" ht="11.549999999999999">
      <c r="A172" s="1613"/>
      <c r="B172" s="2262"/>
      <c r="C172" s="2262"/>
      <c r="D172" s="977"/>
      <c r="J172" s="4642"/>
      <c r="K172" s="4642"/>
      <c r="L172" s="4642"/>
      <c r="M172" s="4642"/>
      <c r="O172" s="1786"/>
      <c r="P172" s="2262"/>
      <c r="Q172" s="2262"/>
      <c r="R172" s="1786"/>
      <c r="S172" s="1786"/>
      <c r="T172" s="1786"/>
      <c r="U172" s="1786"/>
      <c r="V172" s="2262"/>
      <c r="W172" s="1786"/>
      <c r="X172" s="1786"/>
      <c r="Y172" s="1170"/>
      <c r="Z172" s="1786"/>
      <c r="AA172" s="1786"/>
      <c r="AB172" s="1786"/>
      <c r="AC172" s="1786"/>
      <c r="AD172" s="1786"/>
      <c r="AE172" s="2258"/>
      <c r="AF172" s="1192"/>
      <c r="AG172" s="1192"/>
      <c r="AH172" s="1192"/>
      <c r="AI172" s="1192"/>
      <c r="AJ172" s="2267">
        <v>11</v>
      </c>
    </row>
    <row s="35197" customFormat="1" customHeight="1" ht="11.549999999999999">
      <c r="A173" s="1613"/>
      <c r="B173" s="2262"/>
      <c r="C173" s="2262"/>
      <c r="D173" s="977"/>
      <c r="J173" s="4642"/>
      <c r="K173" s="4642"/>
      <c r="L173" s="4642"/>
      <c r="M173" s="4642"/>
      <c r="O173" s="1786"/>
      <c r="P173" s="2262"/>
      <c r="Q173" s="2262"/>
      <c r="R173" s="1786"/>
      <c r="S173" s="1786"/>
      <c r="T173" s="1786"/>
      <c r="U173" s="1786"/>
      <c r="V173" s="2262"/>
      <c r="W173" s="1786"/>
      <c r="X173" s="1786"/>
      <c r="Y173" s="1170"/>
      <c r="Z173" s="1786"/>
      <c r="AA173" s="1786"/>
      <c r="AB173" s="1786"/>
      <c r="AC173" s="1786"/>
      <c r="AD173" s="1786"/>
      <c r="AE173" s="2258"/>
      <c r="AF173" s="1192"/>
      <c r="AG173" s="1192"/>
      <c r="AH173" s="1192"/>
      <c r="AI173" s="1192"/>
      <c r="AJ173" s="2267">
        <v>11</v>
      </c>
    </row>
    <row s="35197" customFormat="1" customHeight="1" ht="11.549999999999999">
      <c r="A174" s="1613"/>
      <c r="B174" s="2262"/>
      <c r="C174" s="2262"/>
      <c r="D174" s="977"/>
      <c r="J174" s="4642"/>
      <c r="K174" s="4642"/>
      <c r="L174" s="4642"/>
      <c r="M174" s="4642"/>
      <c r="O174" s="1786"/>
      <c r="P174" s="2262"/>
      <c r="Q174" s="2262"/>
      <c r="R174" s="1786"/>
      <c r="S174" s="1786"/>
      <c r="T174" s="1786"/>
      <c r="U174" s="1786"/>
      <c r="V174" s="2262"/>
      <c r="W174" s="1786"/>
      <c r="X174" s="1786"/>
      <c r="Y174" s="1170"/>
      <c r="Z174" s="1786"/>
      <c r="AA174" s="1786"/>
      <c r="AB174" s="1786"/>
      <c r="AC174" s="1786"/>
      <c r="AD174" s="1786"/>
      <c r="AE174" s="2258"/>
      <c r="AF174" s="1192"/>
      <c r="AG174" s="1192"/>
      <c r="AH174" s="1192"/>
      <c r="AI174" s="1192"/>
      <c r="AJ174" s="2267">
        <v>11</v>
      </c>
    </row>
    <row s="35197" customFormat="1" customHeight="1" ht="11.549999999999999">
      <c r="A175" s="1613"/>
      <c r="B175" s="2262"/>
      <c r="C175" s="2262"/>
      <c r="D175" s="977"/>
      <c r="J175" s="4642"/>
      <c r="K175" s="4642"/>
      <c r="L175" s="4642"/>
      <c r="M175" s="4642"/>
      <c r="O175" s="1786"/>
      <c r="P175" s="2262"/>
      <c r="Q175" s="2262"/>
      <c r="R175" s="1786"/>
      <c r="S175" s="1786"/>
      <c r="T175" s="1786"/>
      <c r="U175" s="1786"/>
      <c r="V175" s="2262"/>
      <c r="W175" s="1786"/>
      <c r="X175" s="1786"/>
      <c r="Y175" s="1170"/>
      <c r="Z175" s="1786"/>
      <c r="AA175" s="1786"/>
      <c r="AB175" s="1786"/>
      <c r="AC175" s="1786"/>
      <c r="AD175" s="1786"/>
      <c r="AE175" s="2258"/>
      <c r="AF175" s="1192"/>
      <c r="AG175" s="1192"/>
      <c r="AH175" s="1192"/>
      <c r="AI175" s="1192"/>
      <c r="AJ175" s="2267">
        <v>11</v>
      </c>
    </row>
    <row s="35197" customFormat="1" customHeight="1" ht="11.549999999999999">
      <c r="A176" s="1613"/>
      <c r="B176" s="2262"/>
      <c r="C176" s="2262"/>
      <c r="D176" s="977"/>
      <c r="J176" s="4642"/>
      <c r="K176" s="4642"/>
      <c r="L176" s="4642"/>
      <c r="M176" s="4642"/>
      <c r="O176" s="1786"/>
      <c r="P176" s="2262"/>
      <c r="Q176" s="2262"/>
      <c r="R176" s="1786"/>
      <c r="S176" s="1786"/>
      <c r="T176" s="1786"/>
      <c r="U176" s="1786"/>
      <c r="V176" s="2262"/>
      <c r="W176" s="1786"/>
      <c r="X176" s="1786"/>
      <c r="Y176" s="1170"/>
      <c r="Z176" s="1786"/>
      <c r="AA176" s="1786"/>
      <c r="AB176" s="1786"/>
      <c r="AC176" s="1786"/>
      <c r="AD176" s="1786"/>
      <c r="AE176" s="2258"/>
      <c r="AF176" s="1192"/>
      <c r="AG176" s="1192"/>
      <c r="AH176" s="1192"/>
      <c r="AI176" s="1192"/>
      <c r="AJ176" s="2267">
        <v>11</v>
      </c>
    </row>
    <row s="35197" customFormat="1" customHeight="1" ht="11.549999999999999">
      <c r="A177" s="1613"/>
      <c r="B177" s="2262"/>
      <c r="C177" s="2262"/>
      <c r="D177" s="977"/>
      <c r="J177" s="4642"/>
      <c r="K177" s="4642"/>
      <c r="L177" s="4642"/>
      <c r="M177" s="4642"/>
      <c r="O177" s="1786"/>
      <c r="P177" s="2262"/>
      <c r="Q177" s="2262"/>
      <c r="R177" s="1786"/>
      <c r="S177" s="1786"/>
      <c r="T177" s="1786"/>
      <c r="U177" s="1786"/>
      <c r="V177" s="2262"/>
      <c r="W177" s="1786"/>
      <c r="X177" s="1786"/>
      <c r="Y177" s="1170"/>
      <c r="Z177" s="1786"/>
      <c r="AA177" s="1786"/>
      <c r="AB177" s="1786"/>
      <c r="AC177" s="1786"/>
      <c r="AD177" s="1786"/>
      <c r="AE177" s="2258"/>
      <c r="AF177" s="1192"/>
      <c r="AG177" s="1192"/>
      <c r="AH177" s="1192"/>
      <c r="AI177" s="1192"/>
      <c r="AJ177" s="2267">
        <v>11</v>
      </c>
    </row>
    <row s="35197" customFormat="1" customHeight="1" ht="11.549999999999999">
      <c r="A178" s="1613"/>
      <c r="B178" s="2262"/>
      <c r="C178" s="2262"/>
      <c r="D178" s="977"/>
      <c r="J178" s="4642"/>
      <c r="K178" s="4642"/>
      <c r="L178" s="4642"/>
      <c r="M178" s="4642"/>
      <c r="O178" s="1786"/>
      <c r="P178" s="2262"/>
      <c r="Q178" s="2262"/>
      <c r="R178" s="1786"/>
      <c r="S178" s="1786"/>
      <c r="T178" s="1786"/>
      <c r="U178" s="1786"/>
      <c r="V178" s="2262"/>
      <c r="W178" s="1786"/>
      <c r="X178" s="1786"/>
      <c r="Y178" s="1170"/>
      <c r="Z178" s="1786"/>
      <c r="AA178" s="1786"/>
      <c r="AB178" s="1786"/>
      <c r="AC178" s="1786"/>
      <c r="AD178" s="1786"/>
      <c r="AE178" s="2258"/>
      <c r="AF178" s="1192"/>
      <c r="AG178" s="1192"/>
      <c r="AH178" s="1192"/>
      <c r="AI178" s="1192"/>
      <c r="AJ178" s="2267">
        <v>11</v>
      </c>
    </row>
    <row s="35197" customFormat="1" customHeight="1" ht="11.549999999999999">
      <c r="A179" s="1613"/>
      <c r="B179" s="2262"/>
      <c r="C179" s="2262"/>
      <c r="D179" s="977"/>
      <c r="J179" s="4642"/>
      <c r="K179" s="4642"/>
      <c r="L179" s="4642"/>
      <c r="M179" s="4642"/>
      <c r="O179" s="1786"/>
      <c r="P179" s="2262"/>
      <c r="Q179" s="2262"/>
      <c r="R179" s="1786"/>
      <c r="S179" s="1786"/>
      <c r="T179" s="1786"/>
      <c r="U179" s="1786"/>
      <c r="V179" s="2262"/>
      <c r="W179" s="1786"/>
      <c r="X179" s="1786"/>
      <c r="Y179" s="1170"/>
      <c r="Z179" s="1786"/>
      <c r="AA179" s="1786"/>
      <c r="AB179" s="1786"/>
      <c r="AC179" s="1786"/>
      <c r="AD179" s="1786"/>
      <c r="AE179" s="2258"/>
      <c r="AF179" s="1192"/>
      <c r="AG179" s="1192"/>
      <c r="AH179" s="1192"/>
      <c r="AI179" s="1192"/>
      <c r="AJ179" s="2267">
        <v>11</v>
      </c>
    </row>
    <row s="35197" customFormat="1" customHeight="1" ht="11.549999999999999">
      <c r="A180" s="1613"/>
      <c r="B180" s="2262"/>
      <c r="C180" s="2262"/>
      <c r="D180" s="977"/>
      <c r="J180" s="4642"/>
      <c r="K180" s="4642"/>
      <c r="L180" s="4642"/>
      <c r="M180" s="4642"/>
      <c r="O180" s="1786"/>
      <c r="P180" s="2262"/>
      <c r="Q180" s="2262"/>
      <c r="R180" s="1786"/>
      <c r="S180" s="1786"/>
      <c r="T180" s="1786"/>
      <c r="U180" s="1786"/>
      <c r="V180" s="2262"/>
      <c r="W180" s="1786"/>
      <c r="X180" s="1786"/>
      <c r="Y180" s="1170"/>
      <c r="Z180" s="1786"/>
      <c r="AA180" s="1786"/>
      <c r="AB180" s="1786"/>
      <c r="AC180" s="1786"/>
      <c r="AD180" s="1786"/>
      <c r="AE180" s="2258"/>
      <c r="AF180" s="1192"/>
      <c r="AG180" s="1192"/>
      <c r="AH180" s="1192"/>
      <c r="AI180" s="1192"/>
      <c r="AJ180" s="2267">
        <v>11</v>
      </c>
    </row>
    <row s="35197" customFormat="1" customHeight="1" ht="11.549999999999999">
      <c r="A181" s="1613"/>
      <c r="B181" s="2262"/>
      <c r="C181" s="2262"/>
      <c r="D181" s="977"/>
      <c r="J181" s="4642"/>
      <c r="K181" s="4642"/>
      <c r="L181" s="4642"/>
      <c r="M181" s="4642"/>
      <c r="O181" s="1786"/>
      <c r="P181" s="2262"/>
      <c r="Q181" s="2262"/>
      <c r="R181" s="1786"/>
      <c r="S181" s="1786"/>
      <c r="T181" s="1786"/>
      <c r="U181" s="1786"/>
      <c r="V181" s="2262"/>
      <c r="W181" s="1786"/>
      <c r="X181" s="1786"/>
      <c r="Y181" s="1170"/>
      <c r="Z181" s="1786"/>
      <c r="AA181" s="1786"/>
      <c r="AB181" s="1786"/>
      <c r="AC181" s="1786"/>
      <c r="AD181" s="1786"/>
      <c r="AE181" s="2258"/>
      <c r="AF181" s="1192"/>
      <c r="AG181" s="1192"/>
      <c r="AH181" s="1192"/>
      <c r="AI181" s="1192"/>
      <c r="AJ181" s="2267">
        <v>11</v>
      </c>
    </row>
    <row s="35197" customFormat="1" customHeight="1" ht="11.549999999999999">
      <c r="A182" s="1613"/>
      <c r="B182" s="2262"/>
      <c r="C182" s="2262"/>
      <c r="D182" s="977"/>
      <c r="J182" s="4642"/>
      <c r="K182" s="4642"/>
      <c r="L182" s="4642"/>
      <c r="M182" s="4642"/>
      <c r="O182" s="1786"/>
      <c r="P182" s="2262"/>
      <c r="Q182" s="2262"/>
      <c r="R182" s="1786"/>
      <c r="S182" s="1786"/>
      <c r="T182" s="1786"/>
      <c r="U182" s="1786"/>
      <c r="V182" s="2262"/>
      <c r="W182" s="1786"/>
      <c r="X182" s="1786"/>
      <c r="Y182" s="1170"/>
      <c r="Z182" s="1786"/>
      <c r="AA182" s="1786"/>
      <c r="AB182" s="1786"/>
      <c r="AC182" s="1786"/>
      <c r="AD182" s="1786"/>
      <c r="AE182" s="2258"/>
      <c r="AF182" s="1192"/>
      <c r="AG182" s="1192"/>
      <c r="AH182" s="1192"/>
      <c r="AI182" s="1192"/>
      <c r="AJ182" s="2267">
        <v>11</v>
      </c>
    </row>
    <row s="35197" customFormat="1" customHeight="1" ht="11.549999999999999">
      <c r="A183" s="1613"/>
      <c r="B183" s="2262"/>
      <c r="C183" s="2262"/>
      <c r="D183" s="977"/>
      <c r="J183" s="4642"/>
      <c r="K183" s="4642"/>
      <c r="L183" s="4642"/>
      <c r="M183" s="4642"/>
      <c r="O183" s="1786"/>
      <c r="P183" s="2262"/>
      <c r="Q183" s="2262"/>
      <c r="R183" s="1786"/>
      <c r="S183" s="1786"/>
      <c r="T183" s="1786"/>
      <c r="U183" s="1786"/>
      <c r="V183" s="2262"/>
      <c r="W183" s="1786"/>
      <c r="X183" s="1786"/>
      <c r="Y183" s="1170"/>
      <c r="Z183" s="1786"/>
      <c r="AA183" s="1786"/>
      <c r="AB183" s="1786"/>
      <c r="AC183" s="1786"/>
      <c r="AD183" s="1786"/>
      <c r="AE183" s="2258"/>
      <c r="AF183" s="1192"/>
      <c r="AG183" s="1192"/>
      <c r="AH183" s="1192"/>
      <c r="AI183" s="1192"/>
      <c r="AJ183" s="2267">
        <v>11</v>
      </c>
    </row>
    <row s="35197" customFormat="1" customHeight="1" ht="11.549999999999999">
      <c r="A184" s="1613"/>
      <c r="B184" s="2262"/>
      <c r="C184" s="2262"/>
      <c r="D184" s="977"/>
      <c r="J184" s="4642"/>
      <c r="K184" s="4642"/>
      <c r="L184" s="4642"/>
      <c r="M184" s="4642"/>
      <c r="O184" s="1786"/>
      <c r="P184" s="2262"/>
      <c r="Q184" s="2262"/>
      <c r="R184" s="1786"/>
      <c r="S184" s="1786"/>
      <c r="T184" s="1786"/>
      <c r="U184" s="1786"/>
      <c r="V184" s="2262"/>
      <c r="W184" s="1786"/>
      <c r="X184" s="1786"/>
      <c r="Y184" s="1170"/>
      <c r="Z184" s="1786"/>
      <c r="AA184" s="1786"/>
      <c r="AB184" s="1786"/>
      <c r="AC184" s="1786"/>
      <c r="AD184" s="1786"/>
      <c r="AE184" s="2258"/>
      <c r="AF184" s="1192"/>
      <c r="AG184" s="1192"/>
      <c r="AH184" s="1192"/>
      <c r="AI184" s="1192"/>
      <c r="AJ184" s="2267">
        <v>11</v>
      </c>
    </row>
    <row s="35197" customFormat="1" customHeight="1" ht="11.549999999999999">
      <c r="A185" s="1613"/>
      <c r="B185" s="2262"/>
      <c r="C185" s="2262"/>
      <c r="D185" s="977"/>
      <c r="J185" s="4642"/>
      <c r="K185" s="4642"/>
      <c r="L185" s="4642"/>
      <c r="M185" s="4642"/>
      <c r="O185" s="1786"/>
      <c r="P185" s="2262"/>
      <c r="Q185" s="2262"/>
      <c r="R185" s="1786"/>
      <c r="S185" s="1786"/>
      <c r="T185" s="1786"/>
      <c r="U185" s="1786"/>
      <c r="V185" s="2262"/>
      <c r="W185" s="1786"/>
      <c r="X185" s="1786"/>
      <c r="Y185" s="1170"/>
      <c r="Z185" s="1786"/>
      <c r="AA185" s="1786"/>
      <c r="AB185" s="1786"/>
      <c r="AC185" s="1786"/>
      <c r="AD185" s="1786"/>
      <c r="AE185" s="2258"/>
      <c r="AF185" s="1192"/>
      <c r="AG185" s="1192"/>
      <c r="AH185" s="1192"/>
      <c r="AI185" s="1192"/>
      <c r="AJ185" s="2267">
        <v>11</v>
      </c>
    </row>
    <row s="35197" customFormat="1" customHeight="1" ht="11.549999999999999">
      <c r="A186" s="1613"/>
      <c r="B186" s="2262"/>
      <c r="C186" s="2262"/>
      <c r="D186" s="977"/>
      <c r="J186" s="4642"/>
      <c r="K186" s="4642"/>
      <c r="L186" s="4642"/>
      <c r="M186" s="4642"/>
      <c r="O186" s="1786"/>
      <c r="P186" s="2262"/>
      <c r="Q186" s="2262"/>
      <c r="R186" s="1786"/>
      <c r="S186" s="1786"/>
      <c r="T186" s="1786"/>
      <c r="U186" s="1786"/>
      <c r="V186" s="2262"/>
      <c r="W186" s="1786"/>
      <c r="X186" s="1786"/>
      <c r="Y186" s="1170"/>
      <c r="Z186" s="1786"/>
      <c r="AA186" s="1786"/>
      <c r="AB186" s="1786"/>
      <c r="AC186" s="1786"/>
      <c r="AD186" s="1786"/>
      <c r="AE186" s="2258"/>
      <c r="AF186" s="1192"/>
      <c r="AG186" s="1192"/>
      <c r="AH186" s="1192"/>
      <c r="AI186" s="1192"/>
      <c r="AJ186" s="2267">
        <v>11</v>
      </c>
    </row>
    <row s="35197" customFormat="1" customHeight="1" ht="11.549999999999999">
      <c r="A187" s="1613"/>
      <c r="B187" s="2262"/>
      <c r="C187" s="2262"/>
      <c r="D187" s="977"/>
      <c r="J187" s="4642"/>
      <c r="K187" s="4642"/>
      <c r="L187" s="4642"/>
      <c r="M187" s="4642"/>
      <c r="O187" s="1786"/>
      <c r="P187" s="2262"/>
      <c r="Q187" s="2262"/>
      <c r="R187" s="1786"/>
      <c r="S187" s="1786"/>
      <c r="T187" s="1786"/>
      <c r="U187" s="1786"/>
      <c r="V187" s="2262"/>
      <c r="W187" s="1786"/>
      <c r="X187" s="1786"/>
      <c r="Y187" s="1170"/>
      <c r="Z187" s="1786"/>
      <c r="AA187" s="1786"/>
      <c r="AB187" s="1786"/>
      <c r="AC187" s="1786"/>
      <c r="AD187" s="1786"/>
      <c r="AE187" s="2258"/>
      <c r="AF187" s="1192"/>
      <c r="AG187" s="1192"/>
      <c r="AH187" s="1192"/>
      <c r="AI187" s="1192"/>
      <c r="AJ187" s="2267">
        <v>11</v>
      </c>
    </row>
    <row s="35197" customFormat="1" customHeight="1" ht="11.549999999999999">
      <c r="A188" s="1613"/>
      <c r="B188" s="2262"/>
      <c r="C188" s="2262"/>
      <c r="D188" s="977"/>
      <c r="J188" s="4642"/>
      <c r="K188" s="4642"/>
      <c r="L188" s="4642"/>
      <c r="M188" s="4642"/>
      <c r="O188" s="1786"/>
      <c r="P188" s="2262"/>
      <c r="Q188" s="2262"/>
      <c r="R188" s="1786"/>
      <c r="S188" s="1786"/>
      <c r="T188" s="1786"/>
      <c r="U188" s="1786"/>
      <c r="V188" s="2262"/>
      <c r="W188" s="1786"/>
      <c r="X188" s="1786"/>
      <c r="Y188" s="1170"/>
      <c r="Z188" s="1786"/>
      <c r="AA188" s="1786"/>
      <c r="AB188" s="1786"/>
      <c r="AC188" s="1786"/>
      <c r="AD188" s="1786"/>
      <c r="AE188" s="2258"/>
      <c r="AF188" s="1192"/>
      <c r="AG188" s="1192"/>
      <c r="AH188" s="1192"/>
      <c r="AI188" s="1192"/>
      <c r="AJ188" s="2267">
        <v>11</v>
      </c>
    </row>
    <row s="35197" customFormat="1" customHeight="1" ht="11.549999999999999">
      <c r="A189" s="1613"/>
      <c r="B189" s="2262"/>
      <c r="C189" s="2262"/>
      <c r="D189" s="977"/>
      <c r="J189" s="4642"/>
      <c r="K189" s="4642"/>
      <c r="L189" s="4642"/>
      <c r="M189" s="4642"/>
      <c r="O189" s="1786"/>
      <c r="P189" s="2262"/>
      <c r="Q189" s="2262"/>
      <c r="R189" s="1786"/>
      <c r="S189" s="1786"/>
      <c r="T189" s="1786"/>
      <c r="U189" s="1786"/>
      <c r="V189" s="2262"/>
      <c r="W189" s="1786"/>
      <c r="X189" s="1786"/>
      <c r="Y189" s="1170"/>
      <c r="Z189" s="1786"/>
      <c r="AA189" s="1786"/>
      <c r="AB189" s="1786"/>
      <c r="AC189" s="1786"/>
      <c r="AD189" s="1786"/>
      <c r="AE189" s="2258"/>
      <c r="AF189" s="1192"/>
      <c r="AG189" s="1192"/>
      <c r="AH189" s="1192"/>
      <c r="AI189" s="1192"/>
      <c r="AJ189" s="2267">
        <v>11</v>
      </c>
    </row>
    <row s="35197" customFormat="1" customHeight="1" ht="11.549999999999999">
      <c r="A190" s="1613"/>
      <c r="B190" s="2262"/>
      <c r="C190" s="2262"/>
      <c r="D190" s="977"/>
      <c r="J190" s="4642"/>
      <c r="K190" s="4642"/>
      <c r="L190" s="4642"/>
      <c r="M190" s="4642"/>
      <c r="O190" s="1786"/>
      <c r="P190" s="2262"/>
      <c r="Q190" s="2262"/>
      <c r="R190" s="1786"/>
      <c r="S190" s="1786"/>
      <c r="T190" s="1786"/>
      <c r="U190" s="1786"/>
      <c r="V190" s="2262"/>
      <c r="W190" s="1786"/>
      <c r="X190" s="1786"/>
      <c r="Y190" s="1170"/>
      <c r="Z190" s="1786"/>
      <c r="AA190" s="1786"/>
      <c r="AB190" s="1786"/>
      <c r="AC190" s="1786"/>
      <c r="AD190" s="1786"/>
      <c r="AE190" s="2258"/>
      <c r="AF190" s="1192"/>
      <c r="AG190" s="1192"/>
      <c r="AH190" s="1192"/>
      <c r="AI190" s="1192"/>
      <c r="AJ190" s="2267">
        <v>11</v>
      </c>
    </row>
    <row s="35197" customFormat="1" customHeight="1" ht="11.549999999999999">
      <c r="A191" s="1613"/>
      <c r="B191" s="2262"/>
      <c r="C191" s="2262"/>
      <c r="D191" s="977"/>
      <c r="J191" s="4642"/>
      <c r="K191" s="4642"/>
      <c r="L191" s="4642"/>
      <c r="M191" s="4642"/>
      <c r="O191" s="1786"/>
      <c r="P191" s="2262"/>
      <c r="Q191" s="2262"/>
      <c r="R191" s="1786"/>
      <c r="S191" s="1786"/>
      <c r="T191" s="1786"/>
      <c r="U191" s="1786"/>
      <c r="V191" s="2262"/>
      <c r="W191" s="1786"/>
      <c r="X191" s="1786"/>
      <c r="Y191" s="1170"/>
      <c r="Z191" s="1786"/>
      <c r="AA191" s="1786"/>
      <c r="AB191" s="1786"/>
      <c r="AC191" s="1786"/>
      <c r="AD191" s="1786"/>
      <c r="AE191" s="2258"/>
      <c r="AF191" s="1192"/>
      <c r="AG191" s="1192"/>
      <c r="AH191" s="1192"/>
      <c r="AI191" s="1192"/>
      <c r="AJ191" s="2267">
        <v>11</v>
      </c>
    </row>
    <row s="35197" customFormat="1" customHeight="1" ht="11.549999999999999">
      <c r="A192" s="1613"/>
      <c r="B192" s="2262"/>
      <c r="C192" s="2262"/>
      <c r="D192" s="977"/>
      <c r="J192" s="4642"/>
      <c r="K192" s="4642"/>
      <c r="L192" s="4642"/>
      <c r="M192" s="4642"/>
      <c r="O192" s="1786"/>
      <c r="P192" s="2262"/>
      <c r="Q192" s="2262"/>
      <c r="R192" s="1786"/>
      <c r="S192" s="1786"/>
      <c r="T192" s="1786"/>
      <c r="U192" s="1786"/>
      <c r="V192" s="2262"/>
      <c r="W192" s="1786"/>
      <c r="X192" s="1786"/>
      <c r="Y192" s="1170"/>
      <c r="Z192" s="1786"/>
      <c r="AA192" s="1786"/>
      <c r="AB192" s="1786"/>
      <c r="AC192" s="1786"/>
      <c r="AD192" s="1786"/>
      <c r="AE192" s="2258"/>
      <c r="AF192" s="1192"/>
      <c r="AG192" s="1192"/>
      <c r="AH192" s="1192"/>
      <c r="AI192" s="1192"/>
      <c r="AJ192" s="2267">
        <v>11</v>
      </c>
    </row>
    <row s="35197" customFormat="1" customHeight="1" ht="11.549999999999999">
      <c r="A193" s="1613"/>
      <c r="B193" s="2262"/>
      <c r="C193" s="2262"/>
      <c r="D193" s="977"/>
      <c r="J193" s="4642"/>
      <c r="K193" s="4642"/>
      <c r="L193" s="4642"/>
      <c r="M193" s="4642"/>
      <c r="O193" s="1786"/>
      <c r="P193" s="2262"/>
      <c r="Q193" s="2262"/>
      <c r="R193" s="1786"/>
      <c r="S193" s="1786"/>
      <c r="T193" s="1786"/>
      <c r="U193" s="1786"/>
      <c r="V193" s="2262"/>
      <c r="W193" s="1786"/>
      <c r="X193" s="1786"/>
      <c r="Y193" s="1170"/>
      <c r="Z193" s="1786"/>
      <c r="AA193" s="1786"/>
      <c r="AB193" s="1786"/>
      <c r="AC193" s="1786"/>
      <c r="AD193" s="1786"/>
      <c r="AE193" s="2258"/>
      <c r="AF193" s="1192"/>
      <c r="AG193" s="1192"/>
      <c r="AH193" s="1192"/>
      <c r="AI193" s="1192"/>
      <c r="AJ193" s="2267">
        <v>11</v>
      </c>
    </row>
    <row s="35197" customFormat="1" customHeight="1" ht="11.549999999999999">
      <c r="A194" s="1613"/>
      <c r="B194" s="2262"/>
      <c r="C194" s="2262"/>
      <c r="D194" s="977"/>
      <c r="J194" s="4642"/>
      <c r="K194" s="4642"/>
      <c r="L194" s="4642"/>
      <c r="M194" s="4642"/>
      <c r="O194" s="1786"/>
      <c r="P194" s="2262"/>
      <c r="Q194" s="2262"/>
      <c r="R194" s="1786"/>
      <c r="S194" s="1786"/>
      <c r="T194" s="1786"/>
      <c r="U194" s="1786"/>
      <c r="V194" s="2262"/>
      <c r="W194" s="1786"/>
      <c r="X194" s="1786"/>
      <c r="Y194" s="1170"/>
      <c r="Z194" s="1786"/>
      <c r="AA194" s="1786"/>
      <c r="AB194" s="1786"/>
      <c r="AC194" s="1786"/>
      <c r="AD194" s="1786"/>
      <c r="AE194" s="2258"/>
      <c r="AF194" s="1192"/>
      <c r="AG194" s="1192"/>
      <c r="AH194" s="1192"/>
      <c r="AI194" s="1192"/>
      <c r="AJ194" s="2267">
        <v>11</v>
      </c>
    </row>
    <row s="35197" customFormat="1" customHeight="1" ht="11.549999999999999">
      <c r="A195" s="1613"/>
      <c r="B195" s="2262"/>
      <c r="C195" s="2262"/>
      <c r="D195" s="977"/>
      <c r="J195" s="4642"/>
      <c r="K195" s="4642"/>
      <c r="L195" s="4642"/>
      <c r="M195" s="4642"/>
      <c r="O195" s="1786"/>
      <c r="P195" s="2262"/>
      <c r="Q195" s="2262"/>
      <c r="R195" s="1786"/>
      <c r="S195" s="1786"/>
      <c r="T195" s="1786"/>
      <c r="U195" s="1786"/>
      <c r="V195" s="2262"/>
      <c r="W195" s="1786"/>
      <c r="X195" s="1786"/>
      <c r="Y195" s="1170"/>
      <c r="Z195" s="1786"/>
      <c r="AA195" s="1786"/>
      <c r="AB195" s="1786"/>
      <c r="AC195" s="1786"/>
      <c r="AD195" s="1786"/>
      <c r="AE195" s="2258"/>
      <c r="AF195" s="1192"/>
      <c r="AG195" s="1192"/>
      <c r="AH195" s="1192"/>
      <c r="AI195" s="1192"/>
      <c r="AJ195" s="2267">
        <v>11</v>
      </c>
    </row>
    <row customHeight="1" ht="11.549999999999999">
      <c r="J196" s="4469"/>
      <c r="K196" s="4469"/>
      <c r="L196" s="4469"/>
      <c r="M196" s="4469"/>
      <c r="AJ196" s="2257">
        <v>11</v>
      </c>
    </row>
    <row customHeight="1" ht="11.549999999999999">
      <c r="J197" s="4469"/>
      <c r="K197" s="4469"/>
      <c r="L197" s="4469"/>
      <c r="M197" s="4469"/>
      <c r="AJ197" s="2257">
        <v>11</v>
      </c>
    </row>
    <row customHeight="1" ht="11.549999999999999">
      <c r="J198" s="4469"/>
      <c r="K198" s="4469"/>
      <c r="L198" s="4469"/>
      <c r="M198" s="4469"/>
      <c r="AJ198" s="2257">
        <v>11</v>
      </c>
    </row>
    <row customHeight="1" ht="11.549999999999999">
      <c r="A199" s="1616"/>
      <c r="B199" s="2257"/>
      <c r="D199" s="2257"/>
      <c r="J199" s="4469"/>
      <c r="K199" s="4469"/>
      <c r="L199" s="4469"/>
      <c r="M199" s="4469"/>
      <c r="O199" s="2257"/>
      <c r="R199" s="2257"/>
      <c r="S199" s="2257"/>
      <c r="T199" s="2257"/>
      <c r="U199" s="2257"/>
      <c r="W199" s="2257"/>
      <c r="X199" s="2257"/>
      <c r="Y199" s="2257"/>
      <c r="Z199" s="2257"/>
      <c r="AA199" s="2257"/>
      <c r="AB199" s="2257"/>
      <c r="AC199" s="2257"/>
      <c r="AD199" s="2257"/>
      <c r="AE199" s="2257"/>
      <c r="AF199" s="2257"/>
      <c r="AG199" s="2257"/>
      <c r="AH199" s="2257"/>
      <c r="AI199" s="2257"/>
      <c r="AJ199" s="2257">
        <v>11</v>
      </c>
    </row>
    <row customHeight="1" ht="11.549999999999999">
      <c r="A200" s="1616"/>
      <c r="B200" s="2257"/>
      <c r="D200" s="2257"/>
      <c r="J200" s="4469"/>
      <c r="K200" s="4469"/>
      <c r="L200" s="4469"/>
      <c r="M200" s="4469"/>
      <c r="O200" s="2257"/>
      <c r="R200" s="2257"/>
      <c r="S200" s="2257"/>
      <c r="T200" s="2257"/>
      <c r="U200" s="2257"/>
      <c r="W200" s="2257"/>
      <c r="X200" s="2257"/>
      <c r="Y200" s="2257"/>
      <c r="Z200" s="2257"/>
      <c r="AA200" s="2257"/>
      <c r="AB200" s="2257"/>
      <c r="AC200" s="2257"/>
      <c r="AD200" s="2257"/>
      <c r="AE200" s="2257"/>
      <c r="AF200" s="2257"/>
      <c r="AG200" s="2257"/>
      <c r="AH200" s="2257"/>
      <c r="AI200" s="2257"/>
      <c r="AJ200" s="2257">
        <v>11</v>
      </c>
    </row>
    <row customHeight="1" ht="11.549999999999999">
      <c r="A201" s="1616"/>
      <c r="B201" s="2257"/>
      <c r="D201" s="2257"/>
      <c r="J201" s="4469"/>
      <c r="K201" s="4469"/>
      <c r="L201" s="4469"/>
      <c r="M201" s="4469"/>
      <c r="O201" s="2257"/>
      <c r="R201" s="2257"/>
      <c r="S201" s="2257"/>
      <c r="T201" s="2257"/>
      <c r="U201" s="2257"/>
      <c r="W201" s="2257"/>
      <c r="X201" s="2257"/>
      <c r="Y201" s="2257"/>
      <c r="Z201" s="2257"/>
      <c r="AA201" s="2257"/>
      <c r="AB201" s="2257"/>
      <c r="AC201" s="2257"/>
      <c r="AD201" s="2257"/>
      <c r="AE201" s="2257"/>
      <c r="AF201" s="2257"/>
      <c r="AG201" s="2257"/>
      <c r="AH201" s="2257"/>
      <c r="AI201" s="2257"/>
      <c r="AJ201" s="2257">
        <v>11</v>
      </c>
    </row>
    <row customHeight="1" ht="11.549999999999999">
      <c r="A202" s="1616"/>
      <c r="B202" s="2257"/>
      <c r="D202" s="2257"/>
      <c r="J202" s="4469"/>
      <c r="K202" s="4469"/>
      <c r="L202" s="4469"/>
      <c r="M202" s="4469"/>
      <c r="O202" s="2257"/>
      <c r="R202" s="2257"/>
      <c r="S202" s="2257"/>
      <c r="T202" s="2257"/>
      <c r="U202" s="2257"/>
      <c r="W202" s="2257"/>
      <c r="X202" s="2257"/>
      <c r="Y202" s="2257"/>
      <c r="Z202" s="2257"/>
      <c r="AA202" s="2257"/>
      <c r="AB202" s="2257"/>
      <c r="AC202" s="2257"/>
      <c r="AD202" s="2257"/>
      <c r="AE202" s="2257"/>
      <c r="AF202" s="2257"/>
      <c r="AG202" s="2257"/>
      <c r="AH202" s="2257"/>
      <c r="AI202" s="2257"/>
      <c r="AJ202" s="2257">
        <v>11</v>
      </c>
    </row>
    <row customHeight="1" ht="11.549999999999999">
      <c r="A203" s="1616"/>
      <c r="B203" s="2257"/>
      <c r="D203" s="2257"/>
      <c r="J203" s="4469"/>
      <c r="K203" s="4469"/>
      <c r="L203" s="4469"/>
      <c r="M203" s="4469"/>
      <c r="O203" s="2257"/>
      <c r="R203" s="2257"/>
      <c r="S203" s="2257"/>
      <c r="T203" s="2257"/>
      <c r="U203" s="2257"/>
      <c r="W203" s="2257"/>
      <c r="X203" s="2257"/>
      <c r="Y203" s="2257"/>
      <c r="Z203" s="2257"/>
      <c r="AA203" s="2257"/>
      <c r="AB203" s="2257"/>
      <c r="AC203" s="2257"/>
      <c r="AD203" s="2257"/>
      <c r="AE203" s="2257"/>
      <c r="AF203" s="2257"/>
      <c r="AG203" s="2257"/>
      <c r="AH203" s="2257"/>
      <c r="AI203" s="2257"/>
      <c r="AJ203" s="2257">
        <v>11</v>
      </c>
    </row>
    <row customHeight="1" ht="11.549999999999999">
      <c r="A204" s="1616"/>
      <c r="B204" s="2257"/>
      <c r="D204" s="2257"/>
      <c r="J204" s="4469"/>
      <c r="K204" s="4469"/>
      <c r="L204" s="4469"/>
      <c r="M204" s="4469"/>
      <c r="O204" s="2257"/>
      <c r="R204" s="2257"/>
      <c r="S204" s="2257"/>
      <c r="T204" s="2257"/>
      <c r="U204" s="2257"/>
      <c r="W204" s="2257"/>
      <c r="X204" s="2257"/>
      <c r="Y204" s="2257"/>
      <c r="Z204" s="2257"/>
      <c r="AA204" s="2257"/>
      <c r="AB204" s="2257"/>
      <c r="AC204" s="2257"/>
      <c r="AD204" s="2257"/>
      <c r="AE204" s="2257"/>
      <c r="AF204" s="2257"/>
      <c r="AG204" s="2257"/>
      <c r="AH204" s="2257"/>
      <c r="AI204" s="2257"/>
      <c r="AJ204" s="2257">
        <v>11</v>
      </c>
    </row>
    <row customHeight="1" ht="11.549999999999999">
      <c r="A205" s="1616"/>
      <c r="B205" s="2257"/>
      <c r="D205" s="2257"/>
      <c r="J205" s="4469"/>
      <c r="K205" s="4469"/>
      <c r="L205" s="4469"/>
      <c r="M205" s="4469"/>
      <c r="O205" s="2257"/>
      <c r="R205" s="2257"/>
      <c r="S205" s="2257"/>
      <c r="T205" s="2257"/>
      <c r="U205" s="2257"/>
      <c r="W205" s="2257"/>
      <c r="X205" s="2257"/>
      <c r="Y205" s="2257"/>
      <c r="Z205" s="2257"/>
      <c r="AA205" s="2257"/>
      <c r="AB205" s="2257"/>
      <c r="AC205" s="2257"/>
      <c r="AD205" s="2257"/>
      <c r="AE205" s="2257"/>
      <c r="AF205" s="2257"/>
      <c r="AG205" s="2257"/>
      <c r="AH205" s="2257"/>
      <c r="AI205" s="2257"/>
      <c r="AJ205" s="2257">
        <v>11</v>
      </c>
    </row>
    <row customHeight="1" ht="11.549999999999999">
      <c r="A206" s="1616"/>
      <c r="B206" s="2257"/>
      <c r="D206" s="2257"/>
      <c r="J206" s="4469"/>
      <c r="K206" s="4469"/>
      <c r="L206" s="4469"/>
      <c r="M206" s="4469"/>
      <c r="O206" s="2257"/>
      <c r="R206" s="2257"/>
      <c r="S206" s="2257"/>
      <c r="T206" s="2257"/>
      <c r="U206" s="2257"/>
      <c r="W206" s="2257"/>
      <c r="X206" s="2257"/>
      <c r="Y206" s="2257"/>
      <c r="Z206" s="2257"/>
      <c r="AA206" s="2257"/>
      <c r="AB206" s="2257"/>
      <c r="AC206" s="2257"/>
      <c r="AD206" s="2257"/>
      <c r="AE206" s="2257"/>
      <c r="AF206" s="2257"/>
      <c r="AG206" s="2257"/>
      <c r="AH206" s="2257"/>
      <c r="AI206" s="2257"/>
      <c r="AJ206" s="2257">
        <v>11</v>
      </c>
    </row>
    <row customHeight="1" ht="11.549999999999999">
      <c r="A207" s="1616"/>
      <c r="B207" s="2257"/>
      <c r="D207" s="2257"/>
      <c r="J207" s="4469"/>
      <c r="K207" s="4469"/>
      <c r="L207" s="4469"/>
      <c r="M207" s="4469"/>
      <c r="O207" s="2257"/>
      <c r="R207" s="2257"/>
      <c r="S207" s="2257"/>
      <c r="T207" s="2257"/>
      <c r="U207" s="2257"/>
      <c r="W207" s="2257"/>
      <c r="X207" s="2257"/>
      <c r="Y207" s="2257"/>
      <c r="Z207" s="2257"/>
      <c r="AA207" s="2257"/>
      <c r="AB207" s="2257"/>
      <c r="AC207" s="2257"/>
      <c r="AD207" s="2257"/>
      <c r="AE207" s="2257"/>
      <c r="AF207" s="2257"/>
      <c r="AG207" s="2257"/>
      <c r="AH207" s="2257"/>
      <c r="AI207" s="2257"/>
      <c r="AJ207" s="2257">
        <v>11</v>
      </c>
    </row>
    <row customHeight="1" ht="11.549999999999999">
      <c r="A208" s="1616"/>
      <c r="B208" s="2257"/>
      <c r="D208" s="2257"/>
      <c r="J208" s="4469"/>
      <c r="K208" s="4469"/>
      <c r="L208" s="4469"/>
      <c r="M208" s="4469"/>
      <c r="O208" s="2257"/>
      <c r="R208" s="2257"/>
      <c r="S208" s="2257"/>
      <c r="T208" s="2257"/>
      <c r="U208" s="2257"/>
      <c r="W208" s="2257"/>
      <c r="X208" s="2257"/>
      <c r="Y208" s="2257"/>
      <c r="Z208" s="2257"/>
      <c r="AA208" s="2257"/>
      <c r="AB208" s="2257"/>
      <c r="AC208" s="2257"/>
      <c r="AD208" s="2257"/>
      <c r="AE208" s="2257"/>
      <c r="AF208" s="2257"/>
      <c r="AG208" s="2257"/>
      <c r="AH208" s="2257"/>
      <c r="AI208" s="2257"/>
      <c r="AJ208" s="2257">
        <v>11</v>
      </c>
    </row>
    <row customHeight="1" ht="11.549999999999999">
      <c r="A209" s="1616"/>
      <c r="B209" s="2257"/>
      <c r="D209" s="2257"/>
      <c r="J209" s="4469"/>
      <c r="K209" s="4469"/>
      <c r="L209" s="4469"/>
      <c r="M209" s="4469"/>
      <c r="O209" s="2257"/>
      <c r="R209" s="2257"/>
      <c r="S209" s="2257"/>
      <c r="T209" s="2257"/>
      <c r="U209" s="2257"/>
      <c r="W209" s="2257"/>
      <c r="X209" s="2257"/>
      <c r="Y209" s="2257"/>
      <c r="Z209" s="2257"/>
      <c r="AA209" s="2257"/>
      <c r="AB209" s="2257"/>
      <c r="AC209" s="2257"/>
      <c r="AD209" s="2257"/>
      <c r="AE209" s="2257"/>
      <c r="AF209" s="2257"/>
      <c r="AG209" s="2257"/>
      <c r="AH209" s="2257"/>
      <c r="AI209" s="2257"/>
      <c r="AJ209" s="2257">
        <v>11</v>
      </c>
    </row>
    <row customHeight="1" ht="11.25" hidden="1">
      <c r="A210" s="1613" t="s">
        <v>82</v>
      </c>
      <c r="B210" s="1786">
        <v>0</v>
      </c>
      <c r="C210" s="2262">
        <v>0</v>
      </c>
      <c r="D210" s="2261">
        <v>3</v>
      </c>
      <c r="E210" s="2257">
        <v>7</v>
      </c>
      <c r="F210" s="2257">
        <v>54</v>
      </c>
      <c r="G210" s="2257">
        <v>10</v>
      </c>
      <c r="H210" s="2257">
        <v>0</v>
      </c>
      <c r="I210" s="2257">
        <v>40</v>
      </c>
      <c r="J210" s="4469">
        <v>0</v>
      </c>
      <c r="K210" s="4469">
        <v>0</v>
      </c>
      <c r="L210" s="4469">
        <v>0</v>
      </c>
      <c r="M210" s="4469">
        <v>0</v>
      </c>
      <c r="N210" s="2257">
        <v>102</v>
      </c>
      <c r="O210" s="1786">
        <v>9</v>
      </c>
      <c r="P210" s="2262">
        <v>5</v>
      </c>
      <c r="Q210" s="2262">
        <v>3</v>
      </c>
      <c r="R210" s="1786">
        <v>3</v>
      </c>
      <c r="S210" s="1786">
        <v>3</v>
      </c>
      <c r="T210" s="1786">
        <v>3</v>
      </c>
      <c r="U210" s="1786">
        <v>3</v>
      </c>
      <c r="V210" s="2262">
        <v>10</v>
      </c>
      <c r="W210" s="1786">
        <v>34</v>
      </c>
      <c r="X210" s="1786">
        <v>9</v>
      </c>
      <c r="Y210" s="1170">
        <v>8</v>
      </c>
      <c r="Z210" s="1786">
        <v>8</v>
      </c>
      <c r="AA210" s="1786">
        <v>8</v>
      </c>
      <c r="AB210" s="1786">
        <v>8</v>
      </c>
      <c r="AC210" s="1786">
        <v>8</v>
      </c>
      <c r="AD210" s="1786">
        <v>8</v>
      </c>
      <c r="AE210" s="2258">
        <v>8</v>
      </c>
      <c r="AF210" s="2258">
        <v>8</v>
      </c>
      <c r="AG210" s="2258">
        <v>8</v>
      </c>
      <c r="AH210" s="2258">
        <v>8</v>
      </c>
      <c r="AI210" s="2258">
        <v>8</v>
      </c>
      <c r="AJ210" s="2257">
        <v>11</v>
      </c>
    </row>
  </sheetData>
  <sheetProtection sheet="1" formatColumns="0" formatRows="0" autoFilter="0" sort="1" insertRows="1" insertColumns="1" deleteRows="1" deleteColumns="1"/>
  <mergeCells count="9">
    <mergeCell ref="F40:G40"/>
    <mergeCell ref="E6:I6"/>
    <mergeCell ref="E7:I7"/>
    <mergeCell ref="F10:G10"/>
    <mergeCell ref="N10:N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M28">
      <formula1>900</formula1>
    </dataValidation>
    <dataValidation type="decimal" allowBlank="1" showErrorMessage="1" errorTitle="Ошибка" error="Допускается ввод только неотрицательных чисел!" sqref="H31:M31 H2:M2 H15:M15 H17:M27 H36: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M35">
      <formula1>900</formula1>
    </dataValidation>
    <dataValidation type="decimal" allowBlank="1" showErrorMessage="1" errorTitle="Ошибка" error="Допускается ввод только действительных чисел!" sqref="H30:M30">
      <formula1>-9.99999999999999E+23</formula1>
      <formula2>9.99999999999999E+23</formula2>
    </dataValidation>
    <dataValidation type="decimal" allowBlank="1" showErrorMessage="1" errorTitle="Ошибка" error="Допускается ввод только действительных чисел!" sqref="H32:M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E53A8B-849C-FD8A-FB93-175919771CCE}" mc:Ignorable="x14ac xr xr2 xr3">
  <sheetPr>
    <tabColor theme="9" tint="-0.25"/>
  </sheetPr>
  <dimension ref="A1:AF102"/>
  <sheetViews>
    <sheetView showGridLines="0" zoomScale="90" workbookViewId="0">
      <pane xSplit="8" ySplit="11" topLeftCell="I12" activePane="bottomRight" state="frozen"/>
      <selection pane="bottomLeft" activeCell="A12" sqref="A12"/>
      <selection pane="topRight" activeCell="I1" sqref="I1"/>
      <selection pane="bottomRight" activeCell="Q1" sqref="Q1:R102"/>
    </sheetView>
  </sheetViews>
  <sheetFormatPr defaultColWidth="10.57421875" customHeight="1" defaultRowHeight="11.25"/>
  <cols>
    <col min="1" max="1" style="36209" width="9.140625" hidden="1" customWidth="1"/>
    <col min="2" max="2" style="34658" width="3.57421875" hidden="1" customWidth="1"/>
    <col min="3" max="3" style="34580" width="3.00390625" customWidth="1"/>
    <col min="4" max="4" style="34580" width="7.00390625" customWidth="1"/>
    <col min="5" max="5" style="34580" width="69.00390625" customWidth="1"/>
    <col min="6" max="6" style="34580" width="10.00390625" customWidth="1"/>
    <col min="7" max="8" style="34580" width="44.00390625" hidden="1" customWidth="1"/>
    <col min="9" max="9" style="34580" width="44.00390625" customWidth="1"/>
    <col min="10" max="10" style="34580" width="43.00390625" customWidth="1"/>
    <col min="11" max="18" style="35917" width="44.00390625" customWidth="1"/>
    <col min="19" max="19" style="34580" width="73.00390625" customWidth="1"/>
    <col min="20" max="20" style="34580" width="3.00390625" customWidth="1"/>
    <col min="21" max="31" style="34580" width="10.00390625" customWidth="1"/>
    <col min="32" max="32" style="34580" width="10.57421875" hidden="1"/>
  </cols>
  <sheetData>
    <row s="34657" customFormat="1" customHeight="1" ht="22.5" hidden="1">
      <c r="A1" s="1162"/>
      <c r="B1" s="1137"/>
      <c r="G1" s="1043">
        <v>4</v>
      </c>
      <c r="I1" s="1043">
        <v>4</v>
      </c>
      <c r="K1" s="4490">
        <v>4</v>
      </c>
      <c r="L1" s="4490"/>
      <c r="M1" s="4490">
        <v>4</v>
      </c>
      <c r="N1" s="4490"/>
      <c r="O1" s="4490">
        <v>4</v>
      </c>
      <c r="P1" s="4490"/>
      <c r="Q1" s="4490">
        <v>4</v>
      </c>
      <c r="R1" s="4490"/>
      <c r="S1" s="1043">
        <v>5</v>
      </c>
      <c r="AF1" s="1043" t="s">
        <v>14</v>
      </c>
    </row>
    <row customHeight="1" ht="3">
      <c r="K2" s="4469"/>
      <c r="L2" s="4469"/>
      <c r="M2" s="4469"/>
      <c r="N2" s="4469"/>
      <c r="O2" s="4469"/>
      <c r="P2" s="4469"/>
      <c r="Q2" s="4469"/>
      <c r="R2" s="4469"/>
      <c r="AF2" s="1131">
        <v>3</v>
      </c>
    </row>
    <row customHeight="1" ht="78.75">
      <c r="D3" s="28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865"/>
      <c r="F3" s="2866"/>
      <c r="K3" s="4469"/>
      <c r="L3" s="4469"/>
      <c r="M3" s="4469"/>
      <c r="N3" s="4469"/>
      <c r="O3" s="4469"/>
      <c r="P3" s="4469"/>
      <c r="Q3" s="4469"/>
      <c r="R3" s="4469"/>
      <c r="AF3" s="1131">
        <v>75</v>
      </c>
    </row>
    <row s="34580" customFormat="1" customHeight="1" ht="21">
      <c r="A4" s="1577"/>
      <c r="B4" s="1137"/>
      <c r="D4" s="2840" t="str">
        <f>IF(org=0,"Не определено",org)</f>
        <v>АО "ДГК"</v>
      </c>
      <c r="E4" s="2841"/>
      <c r="F4" s="2842"/>
      <c r="K4" s="4469"/>
      <c r="L4" s="4469"/>
      <c r="M4" s="4469"/>
      <c r="N4" s="4469"/>
      <c r="O4" s="4469"/>
      <c r="P4" s="4469"/>
      <c r="Q4" s="4469"/>
      <c r="R4" s="4469"/>
      <c r="AF4" s="1384">
        <v>20</v>
      </c>
    </row>
    <row customHeight="1" ht="11.549999999999999">
      <c r="C5" s="1135"/>
      <c r="D5" s="1214"/>
      <c r="E5" s="1214"/>
      <c r="F5" s="1214"/>
      <c r="G5" s="1214"/>
      <c r="H5" s="1378"/>
      <c r="I5" s="1214"/>
      <c r="J5" s="1378"/>
      <c r="K5" s="4469"/>
      <c r="L5" s="4846"/>
      <c r="M5" s="4469"/>
      <c r="N5" s="4846"/>
      <c r="O5" s="4469"/>
      <c r="P5" s="4846"/>
      <c r="Q5" s="4469"/>
      <c r="R5" s="4846"/>
      <c r="S5" s="1214"/>
      <c r="AF5" s="1131">
        <v>11</v>
      </c>
    </row>
    <row customHeight="1" ht="1.05">
      <c r="C6" s="1135"/>
      <c r="D6" s="1135"/>
      <c r="E6" s="1148"/>
      <c r="F6" s="1240"/>
      <c r="G6" s="1648"/>
      <c r="H6" s="1648"/>
      <c r="I6" s="1648" t="s">
        <v>126</v>
      </c>
      <c r="J6" s="1648"/>
      <c r="K6" s="4848" t="s">
        <v>131</v>
      </c>
      <c r="L6" s="4848"/>
      <c r="M6" s="4848" t="s">
        <v>134</v>
      </c>
      <c r="N6" s="4848"/>
      <c r="O6" s="4848" t="s">
        <v>139</v>
      </c>
      <c r="P6" s="4848"/>
      <c r="Q6" s="4848" t="s">
        <v>137</v>
      </c>
      <c r="R6" s="4848"/>
      <c r="AF6" s="1131">
        <v>1</v>
      </c>
    </row>
    <row customHeight="1" ht="11.549999999999999">
      <c r="D7" s="1337"/>
      <c r="E7" s="2993" t="s">
        <v>114</v>
      </c>
      <c r="F7" s="2994"/>
      <c r="G7" s="3019" t="str">
        <f>IF(G6="","",INDEX(DIFFERENTIATION_UNMERGE_VD,MATCH(G6,DIFFERENTIATION_ID_DIFF,0)))</f>
        <v/>
      </c>
      <c r="H7" s="3020"/>
      <c r="I7" s="3019"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J7" s="3020"/>
      <c r="K7" s="4512" t="str">
        <f>IF(K6="","",INDEX(DIFFERENTIATION_UNMERGE_VD,MATCH(K6,DIFFERENTIATION_ID_DIFF,0)))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L7" s="4851"/>
      <c r="M7" s="4512" t="str">
        <f>IF(M6="","",INDEX(DIFFERENTIATION_UNMERGE_VD,MATCH(M6,DIFFERENTIATION_ID_DIFF,0)))</f>
        <v>Производство тепловой энергии. Некомбинированная выработка</v>
      </c>
      <c r="N7" s="4851"/>
      <c r="O7" s="4512" t="str">
        <f>IF(O6="","",INDEX(DIFFERENTIATION_UNMERGE_VD,MATCH(O6,DIFFERENTIATION_ID_DIFF,0)))</f>
        <v>Производство тепловой энергии. Комбинированная выработка с уст. мощностью производства электрической энергии 25 МВт и более</v>
      </c>
      <c r="P7" s="4851"/>
      <c r="Q7" s="4512" t="str">
        <f>IF(Q6="","",INDEX(DIFFERENTIATION_UNMERGE_VD,MATCH(Q6,DIFFERENTIATION_ID_DIFF,0)))</f>
        <v>Производство тепловой энергии. Некомбинированная выработка</v>
      </c>
      <c r="R7" s="4851"/>
      <c r="S7" s="2801"/>
      <c r="T7" s="1135"/>
      <c r="AF7" s="1131">
        <v>11</v>
      </c>
    </row>
    <row customHeight="1" ht="11.549999999999999">
      <c r="A8" s="1330"/>
      <c r="D8" s="1337"/>
      <c r="E8" s="2993" t="s">
        <v>582</v>
      </c>
      <c r="F8" s="2994"/>
      <c r="G8" s="3019" t="str">
        <f>IF(G6="","",INDEX(DIFFERENTIATION_UNMERGE_AREA,MATCH(G6,DIFFERENTIATION_ID_DIFF,0)))</f>
        <v/>
      </c>
      <c r="H8" s="3020"/>
      <c r="I8" s="3019" t="str">
        <f>IF(I6="","",INDEX(DIFFERENTIATION_UNMERGE_AREA,MATCH(I6,DIFFERENTIATION_ID_DIFF,0)))</f>
        <v>Территория 1</v>
      </c>
      <c r="J8" s="3020"/>
      <c r="K8" s="4512" t="str">
        <f>IF(K6="","",INDEX(DIFFERENTIATION_UNMERGE_AREA,MATCH(K6,DIFFERENTIATION_ID_DIFF,0)))</f>
        <v>Территория 2</v>
      </c>
      <c r="L8" s="4851"/>
      <c r="M8" s="4512" t="str">
        <f>IF(M6="","",INDEX(DIFFERENTIATION_UNMERGE_AREA,MATCH(M6,DIFFERENTIATION_ID_DIFF,0)))</f>
        <v>Территория 2</v>
      </c>
      <c r="N8" s="4851"/>
      <c r="O8" s="4512" t="str">
        <f>IF(O6="","",INDEX(DIFFERENTIATION_UNMERGE_AREA,MATCH(O6,DIFFERENTIATION_ID_DIFF,0)))</f>
        <v>Территория 3</v>
      </c>
      <c r="P8" s="4851"/>
      <c r="Q8" s="4512" t="str">
        <f>IF(Q6="","",INDEX(DIFFERENTIATION_UNMERGE_AREA,MATCH(Q6,DIFFERENTIATION_ID_DIFF,0)))</f>
        <v>Территория 3</v>
      </c>
      <c r="R8" s="4851"/>
      <c r="S8" s="2825"/>
      <c r="T8" s="1135"/>
      <c r="AF8" s="1131">
        <v>11</v>
      </c>
    </row>
    <row customHeight="1" ht="11.549999999999999">
      <c r="A9" s="1330"/>
      <c r="D9" s="1337"/>
      <c r="E9" s="2993" t="s">
        <v>583</v>
      </c>
      <c r="F9" s="2994"/>
      <c r="G9" s="3019" t="str">
        <f>IF(G6="","",INDEX(DIFFERENTIATION_UNMERGE_SYSTEM,MATCH(G6,DIFFERENTIATION_ID_DIFF,0)))</f>
        <v/>
      </c>
      <c r="H9" s="3020"/>
      <c r="I9" s="3019" t="str">
        <f>IF(I6="","",INDEX(DIFFERENTIATION_UNMERGE_SYSTEM,MATCH(I6,DIFFERENTIATION_ID_DIFF,0)))</f>
        <v>Благовещенская ТЭЦ (г. Благовещенск)</v>
      </c>
      <c r="J9" s="3020"/>
      <c r="K9" s="4512" t="str">
        <f>IF(K6="","",INDEX(DIFFERENTIATION_UNMERGE_SYSTEM,MATCH(K6,DIFFERENTIATION_ID_DIFF,0)))</f>
        <v>Райчихинская ГРЭС </v>
      </c>
      <c r="L9" s="4851"/>
      <c r="M9" s="4512" t="str">
        <f>IF(M6="","",INDEX(DIFFERENTIATION_UNMERGE_SYSTEM,MATCH(M6,DIFFERENTIATION_ID_DIFF,0)))</f>
        <v>Котельная "Агромех" (п.г.т. Новорайчихинск)</v>
      </c>
      <c r="N9" s="4851"/>
      <c r="O9" s="4512" t="str">
        <f>IF(O6="","",INDEX(DIFFERENTIATION_UNMERGE_SYSTEM,MATCH(O6,DIFFERENTIATION_ID_DIFF,0)))</f>
        <v>Благовещенская ТЭЦ (с. Чигири)</v>
      </c>
      <c r="P9" s="4851"/>
      <c r="Q9" s="4512" t="str">
        <f>IF(Q6="","",INDEX(DIFFERENTIATION_UNMERGE_SYSTEM,MATCH(Q6,DIFFERENTIATION_ID_DIFF,0)))</f>
        <v>Котельная "Центральная" (с. Чигири ) </v>
      </c>
      <c r="R9" s="4851"/>
      <c r="S9" s="2825"/>
      <c r="T9" s="1135"/>
      <c r="AF9" s="1131">
        <v>11</v>
      </c>
    </row>
    <row s="34580" customFormat="1" customHeight="1" ht="11.549999999999999">
      <c r="A10" s="1647"/>
      <c r="B10" s="1137"/>
      <c r="D10" s="2727" t="s">
        <v>318</v>
      </c>
      <c r="E10" s="2728"/>
      <c r="F10" s="2728"/>
      <c r="G10" s="2728"/>
      <c r="H10" s="2728"/>
      <c r="I10" s="2728"/>
      <c r="J10" s="2729"/>
      <c r="K10" s="4854"/>
      <c r="L10" s="4854"/>
      <c r="M10" s="4854"/>
      <c r="N10" s="4854"/>
      <c r="O10" s="4854"/>
      <c r="P10" s="4854"/>
      <c r="Q10" s="4854"/>
      <c r="R10" s="4854"/>
      <c r="S10" s="2825"/>
      <c r="T10" s="1135"/>
      <c r="AF10" s="1384">
        <v>11</v>
      </c>
    </row>
    <row s="34580" customFormat="1" customHeight="1" ht="24">
      <c r="A11" s="3011"/>
      <c r="B11" s="3011"/>
      <c r="C11" s="1283"/>
      <c r="D11" s="1329" t="s">
        <v>88</v>
      </c>
      <c r="E11" s="1331" t="s">
        <v>828</v>
      </c>
      <c r="F11" s="1331" t="s">
        <v>584</v>
      </c>
      <c r="G11" s="1091" t="s">
        <v>321</v>
      </c>
      <c r="H11" s="1091" t="s">
        <v>408</v>
      </c>
      <c r="I11" s="1433" t="s">
        <v>321</v>
      </c>
      <c r="J11" s="1434" t="s">
        <v>408</v>
      </c>
      <c r="K11" s="4475" t="s">
        <v>321</v>
      </c>
      <c r="L11" s="4475" t="s">
        <v>408</v>
      </c>
      <c r="M11" s="4475" t="s">
        <v>321</v>
      </c>
      <c r="N11" s="4475" t="s">
        <v>408</v>
      </c>
      <c r="O11" s="4475" t="s">
        <v>321</v>
      </c>
      <c r="P11" s="4475" t="s">
        <v>408</v>
      </c>
      <c r="Q11" s="4475" t="s">
        <v>321</v>
      </c>
      <c r="R11" s="4475" t="s">
        <v>408</v>
      </c>
      <c r="S11" s="2858"/>
      <c r="T11" s="1284"/>
      <c r="AF11" s="1135">
        <v>23</v>
      </c>
    </row>
    <row s="34658" customFormat="1" customHeight="1" ht="10.5">
      <c r="A12" s="1578"/>
      <c r="D12" s="1651" t="s">
        <v>118</v>
      </c>
      <c r="E12" s="1651" t="s">
        <v>102</v>
      </c>
      <c r="F12" s="1651" t="s">
        <v>90</v>
      </c>
      <c r="G12" s="1652" t="str">
        <f>G1&amp;".1"</f>
        <v>4.1</v>
      </c>
      <c r="H12" s="1652" t="str">
        <f>G1&amp;".2"</f>
        <v>4.2</v>
      </c>
      <c r="I12" s="1652" t="str">
        <f>I1&amp;".1"</f>
        <v>4.1</v>
      </c>
      <c r="J12" s="1652" t="str">
        <f>I1&amp;".2"</f>
        <v>4.2</v>
      </c>
      <c r="K12" s="4863" t="str">
        <f>K1&amp;".1"</f>
        <v>4.1</v>
      </c>
      <c r="L12" s="4863" t="str">
        <f>K1&amp;".2"</f>
        <v>4.2</v>
      </c>
      <c r="M12" s="4863" t="str">
        <f>M1&amp;".1"</f>
        <v>4.1</v>
      </c>
      <c r="N12" s="4863" t="str">
        <f>M1&amp;".2"</f>
        <v>4.2</v>
      </c>
      <c r="O12" s="4863" t="str">
        <f>O1&amp;".1"</f>
        <v>4.1</v>
      </c>
      <c r="P12" s="4863" t="str">
        <f>O1&amp;".2"</f>
        <v>4.2</v>
      </c>
      <c r="Q12" s="4863" t="str">
        <f>Q1&amp;".1"</f>
        <v>4.1</v>
      </c>
      <c r="R12" s="4863" t="str">
        <f>Q1&amp;".2"</f>
        <v>4.2</v>
      </c>
      <c r="S12" s="1652"/>
      <c r="AF12" s="1137">
        <v>10</v>
      </c>
    </row>
    <row customHeight="1" ht="22.5">
      <c r="A13" s="3018" t="s">
        <v>829</v>
      </c>
      <c r="D13" s="1579" t="s">
        <v>118</v>
      </c>
      <c r="E13" s="905" t="s">
        <v>830</v>
      </c>
      <c r="F13" s="1286" t="s">
        <v>831</v>
      </c>
      <c r="G13" s="1183"/>
      <c r="H13" s="1287"/>
      <c r="I13" s="1183"/>
      <c r="J13" s="1287"/>
      <c r="K13" s="4521"/>
      <c r="L13" s="4753"/>
      <c r="M13" s="4521"/>
      <c r="N13" s="4753"/>
      <c r="O13" s="4521"/>
      <c r="P13" s="4753"/>
      <c r="Q13" s="4521"/>
      <c r="R13" s="4753"/>
      <c r="S13" s="915" t="s">
        <v>832</v>
      </c>
      <c r="T13" s="1346"/>
      <c r="AF13" s="1131">
        <v>0</v>
      </c>
    </row>
    <row customHeight="1" ht="22.5">
      <c r="A14" s="3018"/>
      <c r="D14" s="1165" t="s">
        <v>102</v>
      </c>
      <c r="E14" s="905" t="s">
        <v>833</v>
      </c>
      <c r="F14" s="1286" t="s">
        <v>834</v>
      </c>
      <c r="G14" s="1183"/>
      <c r="H14" s="1288"/>
      <c r="I14" s="1183"/>
      <c r="J14" s="1288"/>
      <c r="K14" s="4521"/>
      <c r="L14" s="4753"/>
      <c r="M14" s="4521"/>
      <c r="N14" s="4753"/>
      <c r="O14" s="4521"/>
      <c r="P14" s="4753"/>
      <c r="Q14" s="4521"/>
      <c r="R14" s="4753"/>
      <c r="S14" s="915" t="s">
        <v>835</v>
      </c>
      <c r="T14" s="1346"/>
      <c r="AF14" s="1131">
        <v>0</v>
      </c>
    </row>
    <row s="34580" customFormat="1" customHeight="1" ht="78.75">
      <c r="A15" s="3018"/>
      <c r="B15" s="1137"/>
      <c r="D15" s="1579" t="s">
        <v>90</v>
      </c>
      <c r="E15" s="1333" t="s">
        <v>836</v>
      </c>
      <c r="F15" s="1576" t="s">
        <v>324</v>
      </c>
      <c r="G15" s="1576" t="s">
        <v>324</v>
      </c>
      <c r="H15" s="732"/>
      <c r="I15" s="1576" t="s">
        <v>324</v>
      </c>
      <c r="J15" s="732"/>
      <c r="K15" s="4475" t="s">
        <v>324</v>
      </c>
      <c r="L15" s="4873"/>
      <c r="M15" s="4475" t="s">
        <v>324</v>
      </c>
      <c r="N15" s="4873"/>
      <c r="O15" s="4475" t="s">
        <v>324</v>
      </c>
      <c r="P15" s="4873"/>
      <c r="Q15" s="4475" t="s">
        <v>324</v>
      </c>
      <c r="R15" s="4873"/>
      <c r="S15" s="915" t="s">
        <v>837</v>
      </c>
      <c r="T15" s="1346"/>
      <c r="AF15" s="1384">
        <v>0</v>
      </c>
    </row>
    <row s="34580" customFormat="1" customHeight="1" ht="22.5">
      <c r="A16" s="3018"/>
      <c r="B16" s="1137"/>
      <c r="D16" s="1579" t="s">
        <v>342</v>
      </c>
      <c r="E16" s="1580" t="s">
        <v>838</v>
      </c>
      <c r="F16" s="1576" t="s">
        <v>839</v>
      </c>
      <c r="G16" s="1443"/>
      <c r="H16" s="732"/>
      <c r="I16" s="1443"/>
      <c r="J16" s="732"/>
      <c r="K16" s="4875"/>
      <c r="L16" s="4873"/>
      <c r="M16" s="4875"/>
      <c r="N16" s="4873"/>
      <c r="O16" s="4875"/>
      <c r="P16" s="4873"/>
      <c r="Q16" s="4875"/>
      <c r="R16" s="4873"/>
      <c r="S16" s="915"/>
      <c r="T16" s="1346"/>
      <c r="AF16" s="1384">
        <v>0</v>
      </c>
    </row>
    <row s="34580" customFormat="1" customHeight="1" ht="22.5">
      <c r="A17" s="3018"/>
      <c r="B17" s="1137"/>
      <c r="D17" s="1579" t="s">
        <v>350</v>
      </c>
      <c r="E17" s="1580" t="s">
        <v>840</v>
      </c>
      <c r="F17" s="1576" t="s">
        <v>841</v>
      </c>
      <c r="G17" s="1443"/>
      <c r="H17" s="732"/>
      <c r="I17" s="1443"/>
      <c r="J17" s="732"/>
      <c r="K17" s="4875"/>
      <c r="L17" s="4873"/>
      <c r="M17" s="4875"/>
      <c r="N17" s="4873"/>
      <c r="O17" s="4875"/>
      <c r="P17" s="4873"/>
      <c r="Q17" s="4875"/>
      <c r="R17" s="4873"/>
      <c r="S17" s="915"/>
      <c r="T17" s="1346"/>
      <c r="AF17" s="1384">
        <v>0</v>
      </c>
    </row>
    <row s="34580" customFormat="1" customHeight="1" ht="33.75">
      <c r="A18" s="3018"/>
      <c r="B18" s="1137"/>
      <c r="D18" s="1579" t="s">
        <v>352</v>
      </c>
      <c r="E18" s="1580" t="s">
        <v>842</v>
      </c>
      <c r="F18" s="1576" t="s">
        <v>589</v>
      </c>
      <c r="G18" s="1306"/>
      <c r="H18" s="732"/>
      <c r="I18" s="1306"/>
      <c r="J18" s="732"/>
      <c r="K18" s="4877"/>
      <c r="L18" s="4873"/>
      <c r="M18" s="4877"/>
      <c r="N18" s="4873"/>
      <c r="O18" s="4877"/>
      <c r="P18" s="4873"/>
      <c r="Q18" s="4877"/>
      <c r="R18" s="4873"/>
      <c r="S18" s="915"/>
      <c r="T18" s="1346"/>
      <c r="AF18" s="1384">
        <v>0</v>
      </c>
    </row>
    <row customHeight="1" ht="101.25">
      <c r="A19" s="3018"/>
      <c r="D19" s="1579" t="s">
        <v>91</v>
      </c>
      <c r="E19" s="905" t="s">
        <v>843</v>
      </c>
      <c r="F19" s="1286" t="s">
        <v>564</v>
      </c>
      <c r="G19" s="1289"/>
      <c r="H19" s="1288"/>
      <c r="I19" s="1581"/>
      <c r="J19" s="1288"/>
      <c r="K19" s="4880"/>
      <c r="L19" s="4753"/>
      <c r="M19" s="4880"/>
      <c r="N19" s="4753"/>
      <c r="O19" s="4880"/>
      <c r="P19" s="4753"/>
      <c r="Q19" s="4880"/>
      <c r="R19" s="4753"/>
      <c r="S19" s="915" t="s">
        <v>844</v>
      </c>
      <c r="T19" s="1346"/>
      <c r="AF19" s="1131">
        <v>0</v>
      </c>
    </row>
    <row s="34580" customFormat="1" customHeight="1" ht="18.75">
      <c r="A20" s="3018"/>
      <c r="C20" s="1582"/>
      <c r="D20" s="1579" t="s">
        <v>775</v>
      </c>
      <c r="E20" s="1580" t="s">
        <v>845</v>
      </c>
      <c r="F20" s="1576" t="s">
        <v>324</v>
      </c>
      <c r="G20" s="1576" t="s">
        <v>324</v>
      </c>
      <c r="H20" s="1575" t="s">
        <v>324</v>
      </c>
      <c r="I20" s="1576" t="s">
        <v>324</v>
      </c>
      <c r="J20" s="1575" t="s">
        <v>324</v>
      </c>
      <c r="K20" s="4475" t="s">
        <v>324</v>
      </c>
      <c r="L20" s="4883" t="s">
        <v>324</v>
      </c>
      <c r="M20" s="4475" t="s">
        <v>324</v>
      </c>
      <c r="N20" s="4883" t="s">
        <v>324</v>
      </c>
      <c r="O20" s="4475" t="s">
        <v>324</v>
      </c>
      <c r="P20" s="4883" t="s">
        <v>324</v>
      </c>
      <c r="Q20" s="4475" t="s">
        <v>324</v>
      </c>
      <c r="R20" s="4883" t="s">
        <v>324</v>
      </c>
      <c r="S20" s="1574"/>
      <c r="T20" s="1346"/>
      <c r="AE20" s="1301"/>
      <c r="AF20" s="1384">
        <v>0</v>
      </c>
    </row>
    <row s="34580" customFormat="1" customHeight="1" ht="33.75">
      <c r="A21" s="3018"/>
      <c r="C21" s="1582"/>
      <c r="D21" s="1579" t="s">
        <v>778</v>
      </c>
      <c r="E21" s="1202" t="s">
        <v>846</v>
      </c>
      <c r="F21" s="1576" t="s">
        <v>847</v>
      </c>
      <c r="G21" s="1306"/>
      <c r="H21" s="732"/>
      <c r="I21" s="1306"/>
      <c r="J21" s="732"/>
      <c r="K21" s="4877"/>
      <c r="L21" s="4873"/>
      <c r="M21" s="4877"/>
      <c r="N21" s="4873"/>
      <c r="O21" s="4877"/>
      <c r="P21" s="4873"/>
      <c r="Q21" s="4877"/>
      <c r="R21" s="4873"/>
      <c r="S21" s="1574"/>
      <c r="T21" s="1346"/>
      <c r="AE21" s="1301"/>
      <c r="AF21" s="1384">
        <v>0</v>
      </c>
    </row>
    <row s="34580" customFormat="1" customHeight="1" ht="33.75">
      <c r="A22" s="3018"/>
      <c r="C22" s="1582"/>
      <c r="D22" s="1579" t="s">
        <v>781</v>
      </c>
      <c r="E22" s="1202" t="s">
        <v>848</v>
      </c>
      <c r="F22" s="1576" t="s">
        <v>849</v>
      </c>
      <c r="G22" s="1306"/>
      <c r="H22" s="732"/>
      <c r="I22" s="1306"/>
      <c r="J22" s="732"/>
      <c r="K22" s="4877"/>
      <c r="L22" s="4873"/>
      <c r="M22" s="4877"/>
      <c r="N22" s="4873"/>
      <c r="O22" s="4877"/>
      <c r="P22" s="4873"/>
      <c r="Q22" s="4877"/>
      <c r="R22" s="4873"/>
      <c r="S22" s="1574"/>
      <c r="T22" s="1346"/>
      <c r="AE22" s="1301"/>
      <c r="AF22" s="1384">
        <v>0</v>
      </c>
    </row>
    <row s="34580" customFormat="1" customHeight="1" ht="22.5">
      <c r="A23" s="3018"/>
      <c r="C23" s="1582"/>
      <c r="D23" s="1579" t="s">
        <v>817</v>
      </c>
      <c r="E23" s="1580" t="s">
        <v>850</v>
      </c>
      <c r="F23" s="1576" t="s">
        <v>324</v>
      </c>
      <c r="G23" s="1576" t="s">
        <v>324</v>
      </c>
      <c r="H23" s="1575" t="s">
        <v>324</v>
      </c>
      <c r="I23" s="1576" t="s">
        <v>324</v>
      </c>
      <c r="J23" s="1575" t="s">
        <v>324</v>
      </c>
      <c r="K23" s="4475" t="s">
        <v>324</v>
      </c>
      <c r="L23" s="4883" t="s">
        <v>324</v>
      </c>
      <c r="M23" s="4475" t="s">
        <v>324</v>
      </c>
      <c r="N23" s="4883" t="s">
        <v>324</v>
      </c>
      <c r="O23" s="4475" t="s">
        <v>324</v>
      </c>
      <c r="P23" s="4883" t="s">
        <v>324</v>
      </c>
      <c r="Q23" s="4475" t="s">
        <v>324</v>
      </c>
      <c r="R23" s="4883" t="s">
        <v>324</v>
      </c>
      <c r="S23" s="1574"/>
      <c r="T23" s="1346"/>
      <c r="AE23" s="1301"/>
      <c r="AF23" s="1384">
        <v>0</v>
      </c>
    </row>
    <row s="34580" customFormat="1" customHeight="1" ht="22.5">
      <c r="A24" s="3018"/>
      <c r="C24" s="1582"/>
      <c r="D24" s="1579" t="s">
        <v>851</v>
      </c>
      <c r="E24" s="1202" t="s">
        <v>852</v>
      </c>
      <c r="F24" s="1576" t="s">
        <v>853</v>
      </c>
      <c r="G24" s="1306"/>
      <c r="H24" s="1312"/>
      <c r="I24" s="1306"/>
      <c r="J24" s="1312"/>
      <c r="K24" s="4877"/>
      <c r="L24" s="4888"/>
      <c r="M24" s="4877"/>
      <c r="N24" s="4888"/>
      <c r="O24" s="4877"/>
      <c r="P24" s="4888"/>
      <c r="Q24" s="4877"/>
      <c r="R24" s="4888"/>
      <c r="S24" s="1574"/>
      <c r="T24" s="1346"/>
      <c r="AE24" s="1301"/>
      <c r="AF24" s="1384">
        <v>0</v>
      </c>
    </row>
    <row s="34580" customFormat="1" customHeight="1" ht="22.5">
      <c r="A25" s="3018"/>
      <c r="C25" s="1582"/>
      <c r="D25" s="1579" t="s">
        <v>854</v>
      </c>
      <c r="E25" s="1202" t="s">
        <v>855</v>
      </c>
      <c r="F25" s="1576" t="s">
        <v>324</v>
      </c>
      <c r="G25" s="1576" t="s">
        <v>324</v>
      </c>
      <c r="H25" s="1575" t="s">
        <v>324</v>
      </c>
      <c r="I25" s="1576" t="s">
        <v>324</v>
      </c>
      <c r="J25" s="1575" t="s">
        <v>324</v>
      </c>
      <c r="K25" s="4475" t="s">
        <v>324</v>
      </c>
      <c r="L25" s="4883" t="s">
        <v>324</v>
      </c>
      <c r="M25" s="4475" t="s">
        <v>324</v>
      </c>
      <c r="N25" s="4883" t="s">
        <v>324</v>
      </c>
      <c r="O25" s="4475" t="s">
        <v>324</v>
      </c>
      <c r="P25" s="4883" t="s">
        <v>324</v>
      </c>
      <c r="Q25" s="4475" t="s">
        <v>324</v>
      </c>
      <c r="R25" s="4883" t="s">
        <v>324</v>
      </c>
      <c r="S25" s="1574"/>
      <c r="T25" s="1346"/>
      <c r="AE25" s="1301"/>
      <c r="AF25" s="1384">
        <v>0</v>
      </c>
    </row>
    <row s="34580" customFormat="1" customHeight="1" ht="18.75">
      <c r="A26" s="3018"/>
      <c r="C26" s="1582"/>
      <c r="D26" s="1579" t="s">
        <v>856</v>
      </c>
      <c r="E26" s="1179" t="s">
        <v>857</v>
      </c>
      <c r="F26" s="1576" t="s">
        <v>858</v>
      </c>
      <c r="G26" s="1306"/>
      <c r="H26" s="1312"/>
      <c r="I26" s="1306"/>
      <c r="J26" s="1312"/>
      <c r="K26" s="4877"/>
      <c r="L26" s="4888"/>
      <c r="M26" s="4877"/>
      <c r="N26" s="4888"/>
      <c r="O26" s="4877"/>
      <c r="P26" s="4888"/>
      <c r="Q26" s="4877"/>
      <c r="R26" s="4888"/>
      <c r="S26" s="1574"/>
      <c r="T26" s="1346"/>
      <c r="AE26" s="1301"/>
      <c r="AF26" s="1384">
        <v>0</v>
      </c>
    </row>
    <row s="34580" customFormat="1" customHeight="1" ht="18.75">
      <c r="A27" s="3018"/>
      <c r="C27" s="1582"/>
      <c r="D27" s="1579" t="s">
        <v>859</v>
      </c>
      <c r="E27" s="1179" t="s">
        <v>860</v>
      </c>
      <c r="F27" s="1576" t="s">
        <v>861</v>
      </c>
      <c r="G27" s="1306"/>
      <c r="H27" s="1312"/>
      <c r="I27" s="1306"/>
      <c r="J27" s="1312"/>
      <c r="K27" s="4877"/>
      <c r="L27" s="4888"/>
      <c r="M27" s="4877"/>
      <c r="N27" s="4888"/>
      <c r="O27" s="4877"/>
      <c r="P27" s="4888"/>
      <c r="Q27" s="4877"/>
      <c r="R27" s="4888"/>
      <c r="S27" s="1574"/>
      <c r="T27" s="1346"/>
      <c r="AE27" s="1301"/>
      <c r="AF27" s="1384">
        <v>0</v>
      </c>
    </row>
    <row s="34580" customFormat="1" customHeight="1" ht="18.75">
      <c r="A28" s="3018"/>
      <c r="C28" s="1582"/>
      <c r="D28" s="1579" t="s">
        <v>862</v>
      </c>
      <c r="E28" s="1202" t="s">
        <v>863</v>
      </c>
      <c r="F28" s="1576" t="s">
        <v>324</v>
      </c>
      <c r="G28" s="1576" t="s">
        <v>324</v>
      </c>
      <c r="H28" s="1575" t="s">
        <v>324</v>
      </c>
      <c r="I28" s="1576" t="s">
        <v>324</v>
      </c>
      <c r="J28" s="1575" t="s">
        <v>324</v>
      </c>
      <c r="K28" s="4475" t="s">
        <v>324</v>
      </c>
      <c r="L28" s="4883" t="s">
        <v>324</v>
      </c>
      <c r="M28" s="4475" t="s">
        <v>324</v>
      </c>
      <c r="N28" s="4883" t="s">
        <v>324</v>
      </c>
      <c r="O28" s="4475" t="s">
        <v>324</v>
      </c>
      <c r="P28" s="4883" t="s">
        <v>324</v>
      </c>
      <c r="Q28" s="4475" t="s">
        <v>324</v>
      </c>
      <c r="R28" s="4883" t="s">
        <v>324</v>
      </c>
      <c r="S28" s="1574"/>
      <c r="T28" s="1346"/>
      <c r="AE28" s="1301"/>
      <c r="AF28" s="1384">
        <v>0</v>
      </c>
    </row>
    <row s="34580" customFormat="1" customHeight="1" ht="18.75">
      <c r="A29" s="3018"/>
      <c r="C29" s="1582"/>
      <c r="D29" s="1579" t="s">
        <v>864</v>
      </c>
      <c r="E29" s="1179" t="s">
        <v>857</v>
      </c>
      <c r="F29" s="1576" t="s">
        <v>865</v>
      </c>
      <c r="G29" s="1306"/>
      <c r="H29" s="1312"/>
      <c r="I29" s="1306"/>
      <c r="J29" s="1312"/>
      <c r="K29" s="4877"/>
      <c r="L29" s="4888"/>
      <c r="M29" s="4877"/>
      <c r="N29" s="4888"/>
      <c r="O29" s="4877"/>
      <c r="P29" s="4888"/>
      <c r="Q29" s="4877"/>
      <c r="R29" s="4888"/>
      <c r="S29" s="1574"/>
      <c r="T29" s="1346"/>
      <c r="AE29" s="1301"/>
      <c r="AF29" s="1384">
        <v>0</v>
      </c>
    </row>
    <row s="34580" customFormat="1" customHeight="1" ht="18.75">
      <c r="A30" s="3018"/>
      <c r="C30" s="1582"/>
      <c r="D30" s="1579" t="s">
        <v>866</v>
      </c>
      <c r="E30" s="1179" t="s">
        <v>867</v>
      </c>
      <c r="F30" s="1576" t="s">
        <v>868</v>
      </c>
      <c r="G30" s="1306"/>
      <c r="H30" s="1312"/>
      <c r="I30" s="1306"/>
      <c r="J30" s="1312"/>
      <c r="K30" s="4877"/>
      <c r="L30" s="4888"/>
      <c r="M30" s="4877"/>
      <c r="N30" s="4888"/>
      <c r="O30" s="4877"/>
      <c r="P30" s="4888"/>
      <c r="Q30" s="4877"/>
      <c r="R30" s="4888"/>
      <c r="S30" s="1574"/>
      <c r="T30" s="1346"/>
      <c r="AE30" s="1301"/>
      <c r="AF30" s="1384">
        <v>0</v>
      </c>
    </row>
    <row customHeight="1" ht="126.75">
      <c r="A31" s="3018"/>
      <c r="D31" s="1579" t="s">
        <v>119</v>
      </c>
      <c r="E31" s="905" t="s">
        <v>869</v>
      </c>
      <c r="F31" s="1286" t="s">
        <v>576</v>
      </c>
      <c r="G31" s="1183"/>
      <c r="H31" s="1288"/>
      <c r="I31" s="1183"/>
      <c r="J31" s="1288"/>
      <c r="K31" s="4521"/>
      <c r="L31" s="4753"/>
      <c r="M31" s="4521"/>
      <c r="N31" s="4753"/>
      <c r="O31" s="4521"/>
      <c r="P31" s="4753"/>
      <c r="Q31" s="4521"/>
      <c r="R31" s="4753"/>
      <c r="S31" s="915" t="s">
        <v>870</v>
      </c>
      <c r="T31" s="1346"/>
      <c r="AF31" s="1131">
        <v>0</v>
      </c>
    </row>
    <row customHeight="1" ht="56.25">
      <c r="A32" s="3018"/>
      <c r="D32" s="1579" t="s">
        <v>92</v>
      </c>
      <c r="E32" s="905" t="s">
        <v>871</v>
      </c>
      <c r="F32" s="1165" t="s">
        <v>841</v>
      </c>
      <c r="G32" s="1183"/>
      <c r="H32" s="1288"/>
      <c r="I32" s="1183"/>
      <c r="J32" s="1288"/>
      <c r="K32" s="4521"/>
      <c r="L32" s="4753"/>
      <c r="M32" s="4521"/>
      <c r="N32" s="4753"/>
      <c r="O32" s="4521"/>
      <c r="P32" s="4753"/>
      <c r="Q32" s="4521"/>
      <c r="R32" s="4753"/>
      <c r="S32" s="915" t="s">
        <v>872</v>
      </c>
      <c r="T32" s="1346"/>
      <c r="AF32" s="1131">
        <v>0</v>
      </c>
    </row>
    <row customHeight="1" ht="11.25">
      <c r="A33" s="3018"/>
      <c r="E33" s="1290"/>
      <c r="F33" s="807"/>
      <c r="G33" s="807"/>
      <c r="H33" s="807"/>
      <c r="I33" s="807"/>
      <c r="J33" s="807"/>
      <c r="K33" s="4889"/>
      <c r="L33" s="4889"/>
      <c r="M33" s="4889"/>
      <c r="N33" s="4889"/>
      <c r="O33" s="4889"/>
      <c r="P33" s="4889"/>
      <c r="Q33" s="4889"/>
      <c r="R33" s="4889"/>
      <c r="S33" s="807"/>
      <c r="AF33" s="1131">
        <v>0</v>
      </c>
    </row>
    <row customHeight="1" ht="12.75">
      <c r="A34" s="3018"/>
      <c r="D34" s="691">
        <v>1</v>
      </c>
      <c r="E34" s="961" t="s">
        <v>873</v>
      </c>
      <c r="K34" s="4469"/>
      <c r="L34" s="4469"/>
      <c r="M34" s="4469"/>
      <c r="N34" s="4469"/>
      <c r="O34" s="4469"/>
      <c r="P34" s="4469"/>
      <c r="Q34" s="4469"/>
      <c r="R34" s="4469"/>
      <c r="AF34" s="1131">
        <v>0</v>
      </c>
    </row>
    <row customHeight="1" ht="11.25">
      <c r="A35" s="3018"/>
      <c r="D35" s="995"/>
      <c r="E35" s="961" t="s">
        <v>874</v>
      </c>
      <c r="K35" s="4469"/>
      <c r="L35" s="4469"/>
      <c r="M35" s="4469"/>
      <c r="N35" s="4469"/>
      <c r="O35" s="4469"/>
      <c r="P35" s="4469"/>
      <c r="Q35" s="4469"/>
      <c r="R35" s="4469"/>
      <c r="AF35" s="1131">
        <v>0</v>
      </c>
    </row>
    <row s="34580" customFormat="1" customHeight="1" ht="11.549999999999999">
      <c r="A36" s="1659"/>
      <c r="B36" s="1144"/>
      <c r="D36" s="1660"/>
      <c r="E36" s="1661"/>
      <c r="K36" s="4469"/>
      <c r="L36" s="4469"/>
      <c r="M36" s="4469"/>
      <c r="N36" s="4469"/>
      <c r="O36" s="4469"/>
      <c r="P36" s="4469"/>
      <c r="Q36" s="4469"/>
      <c r="R36" s="4469"/>
      <c r="AF36" s="1135">
        <v>11</v>
      </c>
    </row>
    <row s="34580" customFormat="1" customHeight="1" ht="22.5" hidden="1">
      <c r="A37" s="3018" t="s">
        <v>875</v>
      </c>
      <c r="B37" s="1137"/>
      <c r="D37" s="1579">
        <v>1</v>
      </c>
      <c r="E37" s="1333" t="s">
        <v>876</v>
      </c>
      <c r="F37" s="1286" t="s">
        <v>831</v>
      </c>
      <c r="G37" s="1183"/>
      <c r="H37" s="1145"/>
      <c r="I37" s="1183"/>
      <c r="J37" s="1145"/>
      <c r="K37" s="4521"/>
      <c r="L37" s="4895"/>
      <c r="M37" s="4521"/>
      <c r="N37" s="4895"/>
      <c r="O37" s="4521"/>
      <c r="P37" s="4895"/>
      <c r="Q37" s="4521"/>
      <c r="R37" s="4895"/>
      <c r="S37" s="915" t="s">
        <v>877</v>
      </c>
      <c r="AF37" s="1384">
        <v>0</v>
      </c>
    </row>
    <row s="34580" customFormat="1" customHeight="1" ht="22.5" hidden="1">
      <c r="A38" s="3018"/>
      <c r="B38" s="1137"/>
      <c r="D38" s="1295" t="s">
        <v>102</v>
      </c>
      <c r="E38" s="1658" t="s">
        <v>878</v>
      </c>
      <c r="F38" s="1662" t="s">
        <v>564</v>
      </c>
      <c r="G38" s="1662" t="s">
        <v>564</v>
      </c>
      <c r="H38" s="1656"/>
      <c r="I38" s="1662" t="s">
        <v>564</v>
      </c>
      <c r="J38" s="1656"/>
      <c r="K38" s="4900" t="s">
        <v>564</v>
      </c>
      <c r="L38" s="4901"/>
      <c r="M38" s="4900" t="s">
        <v>564</v>
      </c>
      <c r="N38" s="4901"/>
      <c r="O38" s="4900" t="s">
        <v>564</v>
      </c>
      <c r="P38" s="4901"/>
      <c r="Q38" s="4900" t="s">
        <v>564</v>
      </c>
      <c r="R38" s="4901"/>
      <c r="S38" s="1657"/>
      <c r="AF38" s="1384">
        <v>0</v>
      </c>
    </row>
    <row s="34580" customFormat="1" customHeight="1" ht="33.75" hidden="1">
      <c r="A39" s="3018"/>
      <c r="B39" s="1137"/>
      <c r="D39" s="1291" t="s">
        <v>733</v>
      </c>
      <c r="E39" s="1349" t="s">
        <v>879</v>
      </c>
      <c r="F39" s="1286" t="s">
        <v>880</v>
      </c>
      <c r="G39" s="1294"/>
      <c r="H39" s="1649"/>
      <c r="I39" s="1294"/>
      <c r="J39" s="1649"/>
      <c r="K39" s="4906"/>
      <c r="L39" s="4907"/>
      <c r="M39" s="4906"/>
      <c r="N39" s="4907"/>
      <c r="O39" s="4906"/>
      <c r="P39" s="4907"/>
      <c r="Q39" s="4906"/>
      <c r="R39" s="4907"/>
      <c r="S39" s="915" t="s">
        <v>881</v>
      </c>
      <c r="AF39" s="1384">
        <v>0</v>
      </c>
    </row>
    <row s="34580" customFormat="1" customHeight="1" ht="33.75" hidden="1">
      <c r="A40" s="3018"/>
      <c r="B40" s="1137"/>
      <c r="D40" s="1291" t="s">
        <v>736</v>
      </c>
      <c r="E40" s="1349" t="s">
        <v>882</v>
      </c>
      <c r="F40" s="1653" t="s">
        <v>883</v>
      </c>
      <c r="G40" s="1367"/>
      <c r="H40" s="1649"/>
      <c r="I40" s="1367"/>
      <c r="J40" s="1649"/>
      <c r="K40" s="4910"/>
      <c r="L40" s="4907"/>
      <c r="M40" s="4910"/>
      <c r="N40" s="4907"/>
      <c r="O40" s="4910"/>
      <c r="P40" s="4907"/>
      <c r="Q40" s="4910"/>
      <c r="R40" s="4907"/>
      <c r="S40" s="915" t="s">
        <v>884</v>
      </c>
      <c r="AF40" s="1384">
        <v>0</v>
      </c>
    </row>
    <row s="34580" customFormat="1" customHeight="1" ht="22.5" hidden="1">
      <c r="A41" s="3018"/>
      <c r="B41" s="1137"/>
      <c r="D41" s="1291" t="s">
        <v>90</v>
      </c>
      <c r="E41" s="1348" t="s">
        <v>885</v>
      </c>
      <c r="F41" s="1286" t="s">
        <v>564</v>
      </c>
      <c r="G41" s="1286" t="s">
        <v>564</v>
      </c>
      <c r="H41" s="1650"/>
      <c r="I41" s="1286" t="s">
        <v>564</v>
      </c>
      <c r="J41" s="1650"/>
      <c r="K41" s="4913" t="s">
        <v>564</v>
      </c>
      <c r="L41" s="4914"/>
      <c r="M41" s="4913" t="s">
        <v>564</v>
      </c>
      <c r="N41" s="4914"/>
      <c r="O41" s="4913" t="s">
        <v>564</v>
      </c>
      <c r="P41" s="4914"/>
      <c r="Q41" s="4913" t="s">
        <v>564</v>
      </c>
      <c r="R41" s="4914"/>
      <c r="S41" s="928"/>
      <c r="AF41" s="1384">
        <v>0</v>
      </c>
    </row>
    <row s="34580" customFormat="1" customHeight="1" ht="45" hidden="1">
      <c r="A42" s="3018"/>
      <c r="B42" s="1137"/>
      <c r="D42" s="1291" t="s">
        <v>342</v>
      </c>
      <c r="E42" s="1349" t="s">
        <v>886</v>
      </c>
      <c r="F42" s="1286" t="s">
        <v>576</v>
      </c>
      <c r="G42" s="1183"/>
      <c r="H42" s="1650"/>
      <c r="I42" s="1183"/>
      <c r="J42" s="1650"/>
      <c r="K42" s="4521"/>
      <c r="L42" s="4914"/>
      <c r="M42" s="4521"/>
      <c r="N42" s="4914"/>
      <c r="O42" s="4521"/>
      <c r="P42" s="4914"/>
      <c r="Q42" s="4521"/>
      <c r="R42" s="4914"/>
      <c r="S42" s="928" t="s">
        <v>887</v>
      </c>
      <c r="AF42" s="1384">
        <v>0</v>
      </c>
    </row>
    <row s="34580" customFormat="1" customHeight="1" ht="45" hidden="1">
      <c r="A43" s="3018"/>
      <c r="B43" s="1137"/>
      <c r="D43" s="1291" t="s">
        <v>350</v>
      </c>
      <c r="E43" s="1293" t="s">
        <v>888</v>
      </c>
      <c r="F43" s="1654" t="s">
        <v>576</v>
      </c>
      <c r="G43" s="1368"/>
      <c r="H43" s="1649"/>
      <c r="I43" s="1368"/>
      <c r="J43" s="1649"/>
      <c r="K43" s="4917"/>
      <c r="L43" s="4907"/>
      <c r="M43" s="4917"/>
      <c r="N43" s="4907"/>
      <c r="O43" s="4917"/>
      <c r="P43" s="4907"/>
      <c r="Q43" s="4917"/>
      <c r="R43" s="4907"/>
      <c r="S43" s="928" t="s">
        <v>889</v>
      </c>
      <c r="AF43" s="1384">
        <v>0</v>
      </c>
    </row>
    <row s="34580" customFormat="1" customHeight="1" ht="11.25" hidden="1">
      <c r="A44" s="3018"/>
      <c r="B44" s="1137"/>
      <c r="D44" s="1291" t="s">
        <v>91</v>
      </c>
      <c r="E44" s="1292" t="s">
        <v>890</v>
      </c>
      <c r="F44" s="1286" t="s">
        <v>880</v>
      </c>
      <c r="G44" s="1294"/>
      <c r="H44" s="1649"/>
      <c r="I44" s="1294"/>
      <c r="J44" s="1649"/>
      <c r="K44" s="4906"/>
      <c r="L44" s="4907"/>
      <c r="M44" s="4906"/>
      <c r="N44" s="4907"/>
      <c r="O44" s="4906"/>
      <c r="P44" s="4907"/>
      <c r="Q44" s="4906"/>
      <c r="R44" s="4907"/>
      <c r="S44" s="915"/>
      <c r="AF44" s="1384">
        <v>0</v>
      </c>
    </row>
    <row s="34580" customFormat="1" customHeight="1" ht="11.25" hidden="1">
      <c r="A45" s="3018"/>
      <c r="B45" s="1137"/>
      <c r="D45" s="1291" t="s">
        <v>775</v>
      </c>
      <c r="E45" s="1293" t="s">
        <v>891</v>
      </c>
      <c r="F45" s="1286" t="s">
        <v>880</v>
      </c>
      <c r="G45" s="1294"/>
      <c r="H45" s="1649"/>
      <c r="I45" s="1294"/>
      <c r="J45" s="1649"/>
      <c r="K45" s="4906"/>
      <c r="L45" s="4907"/>
      <c r="M45" s="4906"/>
      <c r="N45" s="4907"/>
      <c r="O45" s="4906"/>
      <c r="P45" s="4907"/>
      <c r="Q45" s="4906"/>
      <c r="R45" s="4907"/>
      <c r="S45" s="915"/>
      <c r="AF45" s="1384">
        <v>0</v>
      </c>
    </row>
    <row s="34580" customFormat="1" customHeight="1" ht="11.25" hidden="1">
      <c r="A46" s="3018"/>
      <c r="B46" s="1137"/>
      <c r="D46" s="1291" t="s">
        <v>817</v>
      </c>
      <c r="E46" s="1293" t="s">
        <v>892</v>
      </c>
      <c r="F46" s="1286" t="s">
        <v>880</v>
      </c>
      <c r="G46" s="1294"/>
      <c r="H46" s="1649"/>
      <c r="I46" s="1294"/>
      <c r="J46" s="1649"/>
      <c r="K46" s="4906"/>
      <c r="L46" s="4907"/>
      <c r="M46" s="4906"/>
      <c r="N46" s="4907"/>
      <c r="O46" s="4906"/>
      <c r="P46" s="4907"/>
      <c r="Q46" s="4906"/>
      <c r="R46" s="4907"/>
      <c r="S46" s="915"/>
      <c r="AF46" s="1384">
        <v>0</v>
      </c>
    </row>
    <row s="34580" customFormat="1" customHeight="1" ht="11.25" hidden="1">
      <c r="A47" s="3018"/>
      <c r="B47" s="1137"/>
      <c r="D47" s="1291" t="s">
        <v>820</v>
      </c>
      <c r="E47" s="1293" t="s">
        <v>893</v>
      </c>
      <c r="F47" s="1286" t="s">
        <v>880</v>
      </c>
      <c r="G47" s="1294"/>
      <c r="H47" s="1649"/>
      <c r="I47" s="1294"/>
      <c r="J47" s="1649"/>
      <c r="K47" s="4906"/>
      <c r="L47" s="4907"/>
      <c r="M47" s="4906"/>
      <c r="N47" s="4907"/>
      <c r="O47" s="4906"/>
      <c r="P47" s="4907"/>
      <c r="Q47" s="4906"/>
      <c r="R47" s="4907"/>
      <c r="S47" s="915"/>
      <c r="AF47" s="1384">
        <v>0</v>
      </c>
    </row>
    <row s="34580" customFormat="1" customHeight="1" ht="11.25" hidden="1">
      <c r="A48" s="3018"/>
      <c r="B48" s="1137"/>
      <c r="D48" s="1291" t="s">
        <v>894</v>
      </c>
      <c r="E48" s="1297" t="s">
        <v>895</v>
      </c>
      <c r="F48" s="1286" t="s">
        <v>880</v>
      </c>
      <c r="G48" s="1294"/>
      <c r="H48" s="1649"/>
      <c r="I48" s="1294"/>
      <c r="J48" s="1649"/>
      <c r="K48" s="4906"/>
      <c r="L48" s="4907"/>
      <c r="M48" s="4906"/>
      <c r="N48" s="4907"/>
      <c r="O48" s="4906"/>
      <c r="P48" s="4907"/>
      <c r="Q48" s="4906"/>
      <c r="R48" s="4907"/>
      <c r="S48" s="915"/>
      <c r="AF48" s="1384">
        <v>0</v>
      </c>
    </row>
    <row s="34580" customFormat="1" customHeight="1" ht="11.25" hidden="1">
      <c r="A49" s="3018"/>
      <c r="B49" s="1137"/>
      <c r="D49" s="1291" t="s">
        <v>896</v>
      </c>
      <c r="E49" s="1297" t="s">
        <v>897</v>
      </c>
      <c r="F49" s="1286" t="s">
        <v>880</v>
      </c>
      <c r="G49" s="1294"/>
      <c r="H49" s="1649"/>
      <c r="I49" s="1294"/>
      <c r="J49" s="1649"/>
      <c r="K49" s="4906"/>
      <c r="L49" s="4907"/>
      <c r="M49" s="4906"/>
      <c r="N49" s="4907"/>
      <c r="O49" s="4906"/>
      <c r="P49" s="4907"/>
      <c r="Q49" s="4906"/>
      <c r="R49" s="4907"/>
      <c r="S49" s="915"/>
      <c r="AF49" s="1384">
        <v>0</v>
      </c>
    </row>
    <row s="34580" customFormat="1" customHeight="1" ht="11.25" hidden="1">
      <c r="A50" s="3018"/>
      <c r="B50" s="1137"/>
      <c r="D50" s="1291" t="s">
        <v>898</v>
      </c>
      <c r="E50" s="1293" t="s">
        <v>899</v>
      </c>
      <c r="F50" s="1286" t="s">
        <v>880</v>
      </c>
      <c r="G50" s="1294"/>
      <c r="H50" s="1649"/>
      <c r="I50" s="1294"/>
      <c r="J50" s="1649"/>
      <c r="K50" s="4906"/>
      <c r="L50" s="4907"/>
      <c r="M50" s="4906"/>
      <c r="N50" s="4907"/>
      <c r="O50" s="4906"/>
      <c r="P50" s="4907"/>
      <c r="Q50" s="4906"/>
      <c r="R50" s="4907"/>
      <c r="S50" s="915"/>
      <c r="AF50" s="1384">
        <v>0</v>
      </c>
    </row>
    <row s="34580" customFormat="1" customHeight="1" ht="11.25" hidden="1">
      <c r="A51" s="3018"/>
      <c r="B51" s="1137"/>
      <c r="D51" s="1291" t="s">
        <v>900</v>
      </c>
      <c r="E51" s="1293" t="s">
        <v>901</v>
      </c>
      <c r="F51" s="1286" t="s">
        <v>880</v>
      </c>
      <c r="G51" s="1294"/>
      <c r="H51" s="1649"/>
      <c r="I51" s="1294"/>
      <c r="J51" s="1649"/>
      <c r="K51" s="4906"/>
      <c r="L51" s="4907"/>
      <c r="M51" s="4906"/>
      <c r="N51" s="4907"/>
      <c r="O51" s="4906"/>
      <c r="P51" s="4907"/>
      <c r="Q51" s="4906"/>
      <c r="R51" s="4907"/>
      <c r="S51" s="915"/>
      <c r="AF51" s="1384">
        <v>0</v>
      </c>
    </row>
    <row s="34580" customFormat="1" customHeight="1" ht="45" hidden="1">
      <c r="A52" s="3018"/>
      <c r="B52" s="1137"/>
      <c r="D52" s="1291" t="s">
        <v>119</v>
      </c>
      <c r="E52" s="1292" t="s">
        <v>902</v>
      </c>
      <c r="F52" s="1286" t="s">
        <v>880</v>
      </c>
      <c r="G52" s="1294"/>
      <c r="H52" s="1649"/>
      <c r="I52" s="1294"/>
      <c r="J52" s="1649"/>
      <c r="K52" s="4906"/>
      <c r="L52" s="4907"/>
      <c r="M52" s="4906"/>
      <c r="N52" s="4907"/>
      <c r="O52" s="4906"/>
      <c r="P52" s="4907"/>
      <c r="Q52" s="4906"/>
      <c r="R52" s="4907"/>
      <c r="S52" s="915"/>
      <c r="AF52" s="1384">
        <v>0</v>
      </c>
    </row>
    <row s="34580" customFormat="1" customHeight="1" ht="11.25" hidden="1">
      <c r="A53" s="3018"/>
      <c r="B53" s="1137"/>
      <c r="D53" s="1291" t="s">
        <v>331</v>
      </c>
      <c r="E53" s="1293" t="s">
        <v>891</v>
      </c>
      <c r="F53" s="1286" t="s">
        <v>880</v>
      </c>
      <c r="G53" s="1294"/>
      <c r="H53" s="1649"/>
      <c r="I53" s="1294"/>
      <c r="J53" s="1649"/>
      <c r="K53" s="4906"/>
      <c r="L53" s="4907"/>
      <c r="M53" s="4906"/>
      <c r="N53" s="4907"/>
      <c r="O53" s="4906"/>
      <c r="P53" s="4907"/>
      <c r="Q53" s="4906"/>
      <c r="R53" s="4907"/>
      <c r="S53" s="915"/>
      <c r="AF53" s="1384">
        <v>0</v>
      </c>
    </row>
    <row s="34580" customFormat="1" customHeight="1" ht="11.25" hidden="1">
      <c r="A54" s="3018"/>
      <c r="B54" s="1137"/>
      <c r="D54" s="1291" t="s">
        <v>903</v>
      </c>
      <c r="E54" s="1293" t="s">
        <v>892</v>
      </c>
      <c r="F54" s="1286" t="s">
        <v>880</v>
      </c>
      <c r="G54" s="1294"/>
      <c r="H54" s="1649"/>
      <c r="I54" s="1294"/>
      <c r="J54" s="1649"/>
      <c r="K54" s="4906"/>
      <c r="L54" s="4907"/>
      <c r="M54" s="4906"/>
      <c r="N54" s="4907"/>
      <c r="O54" s="4906"/>
      <c r="P54" s="4907"/>
      <c r="Q54" s="4906"/>
      <c r="R54" s="4907"/>
      <c r="S54" s="915"/>
      <c r="AF54" s="1384">
        <v>0</v>
      </c>
    </row>
    <row s="34580" customFormat="1" customHeight="1" ht="11.25" hidden="1">
      <c r="A55" s="3018"/>
      <c r="B55" s="1137"/>
      <c r="D55" s="1291" t="s">
        <v>904</v>
      </c>
      <c r="E55" s="1293" t="s">
        <v>893</v>
      </c>
      <c r="F55" s="1286" t="s">
        <v>880</v>
      </c>
      <c r="G55" s="1294"/>
      <c r="H55" s="1649"/>
      <c r="I55" s="1294"/>
      <c r="J55" s="1649"/>
      <c r="K55" s="4906"/>
      <c r="L55" s="4907"/>
      <c r="M55" s="4906"/>
      <c r="N55" s="4907"/>
      <c r="O55" s="4906"/>
      <c r="P55" s="4907"/>
      <c r="Q55" s="4906"/>
      <c r="R55" s="4907"/>
      <c r="S55" s="915"/>
      <c r="AF55" s="1384">
        <v>0</v>
      </c>
    </row>
    <row s="34580" customFormat="1" customHeight="1" ht="11.25" hidden="1">
      <c r="A56" s="3018"/>
      <c r="B56" s="1137"/>
      <c r="D56" s="1291" t="s">
        <v>905</v>
      </c>
      <c r="E56" s="1297" t="s">
        <v>895</v>
      </c>
      <c r="F56" s="1286" t="s">
        <v>880</v>
      </c>
      <c r="G56" s="1294"/>
      <c r="H56" s="1649"/>
      <c r="I56" s="1294"/>
      <c r="J56" s="1649"/>
      <c r="K56" s="4906"/>
      <c r="L56" s="4907"/>
      <c r="M56" s="4906"/>
      <c r="N56" s="4907"/>
      <c r="O56" s="4906"/>
      <c r="P56" s="4907"/>
      <c r="Q56" s="4906"/>
      <c r="R56" s="4907"/>
      <c r="S56" s="915"/>
      <c r="AF56" s="1384">
        <v>0</v>
      </c>
    </row>
    <row s="34580" customFormat="1" customHeight="1" ht="11.25" hidden="1">
      <c r="A57" s="3018"/>
      <c r="B57" s="1137"/>
      <c r="D57" s="1291" t="s">
        <v>906</v>
      </c>
      <c r="E57" s="1297" t="s">
        <v>897</v>
      </c>
      <c r="F57" s="1286" t="s">
        <v>880</v>
      </c>
      <c r="G57" s="1294"/>
      <c r="H57" s="1649"/>
      <c r="I57" s="1294"/>
      <c r="J57" s="1649"/>
      <c r="K57" s="4906"/>
      <c r="L57" s="4907"/>
      <c r="M57" s="4906"/>
      <c r="N57" s="4907"/>
      <c r="O57" s="4906"/>
      <c r="P57" s="4907"/>
      <c r="Q57" s="4906"/>
      <c r="R57" s="4907"/>
      <c r="S57" s="915"/>
      <c r="AF57" s="1384">
        <v>0</v>
      </c>
    </row>
    <row s="34580" customFormat="1" customHeight="1" ht="11.25" hidden="1">
      <c r="A58" s="3018"/>
      <c r="B58" s="1137"/>
      <c r="D58" s="1291" t="s">
        <v>907</v>
      </c>
      <c r="E58" s="1293" t="s">
        <v>899</v>
      </c>
      <c r="F58" s="1286" t="s">
        <v>880</v>
      </c>
      <c r="G58" s="1294"/>
      <c r="H58" s="1649"/>
      <c r="I58" s="1294"/>
      <c r="J58" s="1649"/>
      <c r="K58" s="4906"/>
      <c r="L58" s="4907"/>
      <c r="M58" s="4906"/>
      <c r="N58" s="4907"/>
      <c r="O58" s="4906"/>
      <c r="P58" s="4907"/>
      <c r="Q58" s="4906"/>
      <c r="R58" s="4907"/>
      <c r="S58" s="915"/>
      <c r="AF58" s="1384">
        <v>0</v>
      </c>
    </row>
    <row s="34580" customFormat="1" customHeight="1" ht="11.25" hidden="1">
      <c r="A59" s="3018"/>
      <c r="B59" s="1137"/>
      <c r="D59" s="1291" t="s">
        <v>908</v>
      </c>
      <c r="E59" s="1293" t="s">
        <v>901</v>
      </c>
      <c r="F59" s="1286" t="s">
        <v>880</v>
      </c>
      <c r="G59" s="1294"/>
      <c r="H59" s="1649"/>
      <c r="I59" s="1294"/>
      <c r="J59" s="1649"/>
      <c r="K59" s="4906"/>
      <c r="L59" s="4907"/>
      <c r="M59" s="4906"/>
      <c r="N59" s="4907"/>
      <c r="O59" s="4906"/>
      <c r="P59" s="4907"/>
      <c r="Q59" s="4906"/>
      <c r="R59" s="4907"/>
      <c r="S59" s="915"/>
      <c r="AF59" s="1384">
        <v>0</v>
      </c>
    </row>
    <row s="34580" customFormat="1" customHeight="1" ht="33.75" hidden="1">
      <c r="A60" s="3018"/>
      <c r="B60" s="1137"/>
      <c r="D60" s="1291" t="s">
        <v>92</v>
      </c>
      <c r="E60" s="1292" t="s">
        <v>909</v>
      </c>
      <c r="F60" s="1347" t="s">
        <v>576</v>
      </c>
      <c r="G60" s="1368"/>
      <c r="H60" s="1649"/>
      <c r="I60" s="1368"/>
      <c r="J60" s="1649"/>
      <c r="K60" s="4917"/>
      <c r="L60" s="4907"/>
      <c r="M60" s="4917"/>
      <c r="N60" s="4907"/>
      <c r="O60" s="4917"/>
      <c r="P60" s="4907"/>
      <c r="Q60" s="4917"/>
      <c r="R60" s="4907"/>
      <c r="S60" s="928" t="s">
        <v>910</v>
      </c>
      <c r="AF60" s="1384">
        <v>0</v>
      </c>
    </row>
    <row s="34580" customFormat="1" customHeight="1" ht="33.75" hidden="1">
      <c r="A61" s="3018"/>
      <c r="B61" s="1137"/>
      <c r="D61" s="1291" t="s">
        <v>93</v>
      </c>
      <c r="E61" s="1292" t="s">
        <v>911</v>
      </c>
      <c r="F61" s="1352" t="s">
        <v>841</v>
      </c>
      <c r="G61" s="1294"/>
      <c r="H61" s="1649"/>
      <c r="I61" s="1294"/>
      <c r="J61" s="1649"/>
      <c r="K61" s="4906"/>
      <c r="L61" s="4907"/>
      <c r="M61" s="4906"/>
      <c r="N61" s="4907"/>
      <c r="O61" s="4906"/>
      <c r="P61" s="4907"/>
      <c r="Q61" s="4906"/>
      <c r="R61" s="4907"/>
      <c r="S61" s="915"/>
      <c r="AF61" s="1384">
        <v>0</v>
      </c>
    </row>
    <row s="34580" customFormat="1" customHeight="1" ht="22.5" hidden="1">
      <c r="A62" s="3018"/>
      <c r="B62" s="1137" t="s">
        <v>606</v>
      </c>
      <c r="D62" s="1291" t="s">
        <v>120</v>
      </c>
      <c r="E62" s="1292" t="s">
        <v>912</v>
      </c>
      <c r="F62" s="1352" t="s">
        <v>324</v>
      </c>
      <c r="G62" s="1008"/>
      <c r="H62" s="1649"/>
      <c r="I62" s="1008"/>
      <c r="J62" s="1649"/>
      <c r="K62" s="4923"/>
      <c r="L62" s="4907"/>
      <c r="M62" s="4923"/>
      <c r="N62" s="4907"/>
      <c r="O62" s="4923"/>
      <c r="P62" s="4907"/>
      <c r="Q62" s="4923"/>
      <c r="R62" s="4907"/>
      <c r="S62" s="915" t="s">
        <v>653</v>
      </c>
      <c r="AF62" s="1384">
        <v>0</v>
      </c>
    </row>
    <row s="34580" customFormat="1" customHeight="1" ht="45" hidden="1">
      <c r="A63" s="3018"/>
      <c r="B63" s="1137" t="s">
        <v>606</v>
      </c>
      <c r="D63" s="1291" t="s">
        <v>913</v>
      </c>
      <c r="E63" s="1293" t="s">
        <v>914</v>
      </c>
      <c r="F63" s="1347" t="s">
        <v>324</v>
      </c>
      <c r="G63" s="1008"/>
      <c r="H63" s="1649"/>
      <c r="I63" s="1008"/>
      <c r="J63" s="1649"/>
      <c r="K63" s="4923"/>
      <c r="L63" s="4907"/>
      <c r="M63" s="4923"/>
      <c r="N63" s="4907"/>
      <c r="O63" s="4923"/>
      <c r="P63" s="4907"/>
      <c r="Q63" s="4923"/>
      <c r="R63" s="4907"/>
      <c r="S63" s="915" t="s">
        <v>653</v>
      </c>
      <c r="AF63" s="1384">
        <v>0</v>
      </c>
    </row>
    <row s="34580" customFormat="1" customHeight="1" ht="11.549999999999999">
      <c r="A64" s="1659"/>
      <c r="B64" s="1144"/>
      <c r="D64" s="1660"/>
      <c r="E64" s="1661"/>
      <c r="K64" s="4469"/>
      <c r="L64" s="4469"/>
      <c r="M64" s="4469"/>
      <c r="N64" s="4469"/>
      <c r="O64" s="4469"/>
      <c r="P64" s="4469"/>
      <c r="Q64" s="4469"/>
      <c r="R64" s="4469"/>
      <c r="AF64" s="1135">
        <v>11</v>
      </c>
    </row>
    <row s="34580" customFormat="1" customHeight="1" ht="22.5" hidden="1">
      <c r="A65" s="3018" t="s">
        <v>915</v>
      </c>
      <c r="B65" s="1137"/>
      <c r="D65" s="1291">
        <v>1</v>
      </c>
      <c r="E65" s="1370" t="s">
        <v>916</v>
      </c>
      <c r="F65" s="1366" t="s">
        <v>831</v>
      </c>
      <c r="G65" s="1367"/>
      <c r="H65" s="1655"/>
      <c r="I65" s="1367"/>
      <c r="J65" s="1655"/>
      <c r="K65" s="4910"/>
      <c r="L65" s="4927"/>
      <c r="M65" s="4910"/>
      <c r="N65" s="4927"/>
      <c r="O65" s="4910"/>
      <c r="P65" s="4927"/>
      <c r="Q65" s="4910"/>
      <c r="R65" s="4927"/>
      <c r="S65" s="927" t="s">
        <v>917</v>
      </c>
      <c r="AF65" s="1384">
        <v>0</v>
      </c>
    </row>
    <row s="34580" customFormat="1" customHeight="1" ht="56.25" hidden="1">
      <c r="A66" s="3018"/>
      <c r="B66" s="1137"/>
      <c r="D66" s="1369" t="s">
        <v>102</v>
      </c>
      <c r="E66" s="1333" t="s">
        <v>918</v>
      </c>
      <c r="F66" s="1286" t="s">
        <v>564</v>
      </c>
      <c r="G66" s="1286" t="s">
        <v>564</v>
      </c>
      <c r="H66" s="1145"/>
      <c r="I66" s="1286" t="s">
        <v>564</v>
      </c>
      <c r="J66" s="1145"/>
      <c r="K66" s="4913" t="s">
        <v>564</v>
      </c>
      <c r="L66" s="4895"/>
      <c r="M66" s="4913" t="s">
        <v>564</v>
      </c>
      <c r="N66" s="4895"/>
      <c r="O66" s="4913" t="s">
        <v>564</v>
      </c>
      <c r="P66" s="4895"/>
      <c r="Q66" s="4913" t="s">
        <v>564</v>
      </c>
      <c r="R66" s="4895"/>
      <c r="S66" s="915"/>
      <c r="AF66" s="1384">
        <v>0</v>
      </c>
    </row>
    <row s="34580" customFormat="1" customHeight="1" ht="33.75" hidden="1">
      <c r="A67" s="3018"/>
      <c r="B67" s="1137"/>
      <c r="D67" s="1369" t="s">
        <v>730</v>
      </c>
      <c r="E67" s="1580" t="s">
        <v>919</v>
      </c>
      <c r="F67" s="1286" t="s">
        <v>883</v>
      </c>
      <c r="G67" s="1353"/>
      <c r="H67" s="1145"/>
      <c r="I67" s="1353"/>
      <c r="J67" s="1145"/>
      <c r="K67" s="4768"/>
      <c r="L67" s="4895"/>
      <c r="M67" s="4768"/>
      <c r="N67" s="4895"/>
      <c r="O67" s="4768"/>
      <c r="P67" s="4895"/>
      <c r="Q67" s="4768"/>
      <c r="R67" s="4895"/>
      <c r="S67" s="915"/>
      <c r="AF67" s="1384">
        <v>0</v>
      </c>
    </row>
    <row s="34580" customFormat="1" customHeight="1" ht="22.5" hidden="1">
      <c r="A68" s="3018"/>
      <c r="B68" s="1137"/>
      <c r="D68" s="1369" t="s">
        <v>325</v>
      </c>
      <c r="E68" s="1580" t="s">
        <v>920</v>
      </c>
      <c r="F68" s="1286" t="s">
        <v>883</v>
      </c>
      <c r="G68" s="1353"/>
      <c r="H68" s="1145"/>
      <c r="I68" s="1353"/>
      <c r="J68" s="1145"/>
      <c r="K68" s="4768"/>
      <c r="L68" s="4895"/>
      <c r="M68" s="4768"/>
      <c r="N68" s="4895"/>
      <c r="O68" s="4768"/>
      <c r="P68" s="4895"/>
      <c r="Q68" s="4768"/>
      <c r="R68" s="4895"/>
      <c r="S68" s="915"/>
      <c r="AF68" s="1384">
        <v>0</v>
      </c>
    </row>
    <row s="34580" customFormat="1" customHeight="1" ht="22.5" hidden="1">
      <c r="A69" s="3018"/>
      <c r="B69" s="1137"/>
      <c r="D69" s="1369" t="s">
        <v>328</v>
      </c>
      <c r="E69" s="1580" t="s">
        <v>921</v>
      </c>
      <c r="F69" s="1347" t="s">
        <v>576</v>
      </c>
      <c r="G69" s="1368"/>
      <c r="H69" s="1145"/>
      <c r="I69" s="1368"/>
      <c r="J69" s="1145"/>
      <c r="K69" s="4917"/>
      <c r="L69" s="4895"/>
      <c r="M69" s="4917"/>
      <c r="N69" s="4895"/>
      <c r="O69" s="4917"/>
      <c r="P69" s="4895"/>
      <c r="Q69" s="4917"/>
      <c r="R69" s="4895"/>
      <c r="S69" s="915"/>
      <c r="AF69" s="1384">
        <v>0</v>
      </c>
    </row>
    <row s="34580" customFormat="1" customHeight="1" ht="22.5" hidden="1">
      <c r="A70" s="3018"/>
      <c r="B70" s="1137"/>
      <c r="D70" s="1369" t="s">
        <v>750</v>
      </c>
      <c r="E70" s="1580" t="s">
        <v>922</v>
      </c>
      <c r="F70" s="1347" t="s">
        <v>576</v>
      </c>
      <c r="G70" s="1368"/>
      <c r="H70" s="1145"/>
      <c r="I70" s="1368"/>
      <c r="J70" s="1145"/>
      <c r="K70" s="4917"/>
      <c r="L70" s="4895"/>
      <c r="M70" s="4917"/>
      <c r="N70" s="4895"/>
      <c r="O70" s="4917"/>
      <c r="P70" s="4895"/>
      <c r="Q70" s="4917"/>
      <c r="R70" s="4895"/>
      <c r="S70" s="915"/>
      <c r="AF70" s="1384">
        <v>0</v>
      </c>
    </row>
    <row s="34580" customFormat="1" customHeight="1" ht="22.5" hidden="1">
      <c r="A71" s="3018"/>
      <c r="B71" s="1137"/>
      <c r="D71" s="1291" t="s">
        <v>90</v>
      </c>
      <c r="E71" s="1292" t="s">
        <v>923</v>
      </c>
      <c r="F71" s="1286" t="s">
        <v>883</v>
      </c>
      <c r="G71" s="1183"/>
      <c r="H71" s="1656"/>
      <c r="I71" s="1183"/>
      <c r="J71" s="1656"/>
      <c r="K71" s="4521"/>
      <c r="L71" s="4901"/>
      <c r="M71" s="4521"/>
      <c r="N71" s="4901"/>
      <c r="O71" s="4521"/>
      <c r="P71" s="4901"/>
      <c r="Q71" s="4521"/>
      <c r="R71" s="4901"/>
      <c r="S71" s="928"/>
      <c r="AF71" s="1384">
        <v>0</v>
      </c>
    </row>
    <row s="34580" customFormat="1" customHeight="1" ht="56.25" hidden="1">
      <c r="A72" s="3018"/>
      <c r="B72" s="1137"/>
      <c r="D72" s="1291" t="s">
        <v>91</v>
      </c>
      <c r="E72" s="1292" t="s">
        <v>924</v>
      </c>
      <c r="F72" s="1347" t="s">
        <v>576</v>
      </c>
      <c r="G72" s="1368"/>
      <c r="H72" s="1649"/>
      <c r="I72" s="1368"/>
      <c r="J72" s="1649"/>
      <c r="K72" s="4917"/>
      <c r="L72" s="4907"/>
      <c r="M72" s="4917"/>
      <c r="N72" s="4907"/>
      <c r="O72" s="4917"/>
      <c r="P72" s="4907"/>
      <c r="Q72" s="4917"/>
      <c r="R72" s="4907"/>
      <c r="S72" s="928"/>
      <c r="AF72" s="1384">
        <v>0</v>
      </c>
    </row>
    <row s="34580" customFormat="1" customHeight="1" ht="33.75" hidden="1">
      <c r="A73" s="3018"/>
      <c r="B73" s="1137"/>
      <c r="D73" s="1291" t="s">
        <v>119</v>
      </c>
      <c r="E73" s="1292" t="s">
        <v>925</v>
      </c>
      <c r="F73" s="1352" t="s">
        <v>841</v>
      </c>
      <c r="G73" s="1294"/>
      <c r="H73" s="1649"/>
      <c r="I73" s="1294"/>
      <c r="J73" s="1649"/>
      <c r="K73" s="4906"/>
      <c r="L73" s="4907"/>
      <c r="M73" s="4906"/>
      <c r="N73" s="4907"/>
      <c r="O73" s="4906"/>
      <c r="P73" s="4907"/>
      <c r="Q73" s="4906"/>
      <c r="R73" s="4907"/>
      <c r="S73" s="915"/>
      <c r="AF73" s="1384">
        <v>0</v>
      </c>
    </row>
    <row s="34580" customFormat="1" customHeight="1" ht="22.5" hidden="1">
      <c r="A74" s="3018"/>
      <c r="B74" s="1137" t="s">
        <v>606</v>
      </c>
      <c r="D74" s="1291" t="s">
        <v>92</v>
      </c>
      <c r="E74" s="1292" t="s">
        <v>926</v>
      </c>
      <c r="F74" s="1352" t="s">
        <v>324</v>
      </c>
      <c r="G74" s="1008"/>
      <c r="H74" s="1649"/>
      <c r="I74" s="1008"/>
      <c r="J74" s="1649"/>
      <c r="K74" s="4923"/>
      <c r="L74" s="4907"/>
      <c r="M74" s="4923"/>
      <c r="N74" s="4907"/>
      <c r="O74" s="4923"/>
      <c r="P74" s="4907"/>
      <c r="Q74" s="4923"/>
      <c r="R74" s="4907"/>
      <c r="S74" s="915" t="s">
        <v>653</v>
      </c>
      <c r="AF74" s="1384">
        <v>0</v>
      </c>
    </row>
    <row s="34580" customFormat="1" customHeight="1" ht="45" hidden="1">
      <c r="A75" s="3018"/>
      <c r="B75" s="1137" t="s">
        <v>606</v>
      </c>
      <c r="D75" s="1291" t="s">
        <v>674</v>
      </c>
      <c r="E75" s="1293" t="s">
        <v>927</v>
      </c>
      <c r="F75" s="1347" t="s">
        <v>324</v>
      </c>
      <c r="G75" s="1008"/>
      <c r="H75" s="1649"/>
      <c r="I75" s="1008"/>
      <c r="J75" s="1649"/>
      <c r="K75" s="4923"/>
      <c r="L75" s="4907"/>
      <c r="M75" s="4923"/>
      <c r="N75" s="4907"/>
      <c r="O75" s="4923"/>
      <c r="P75" s="4907"/>
      <c r="Q75" s="4923"/>
      <c r="R75" s="4907"/>
      <c r="S75" s="915" t="s">
        <v>653</v>
      </c>
      <c r="AF75" s="1384">
        <v>0</v>
      </c>
    </row>
    <row s="34580" customFormat="1" customHeight="1" ht="11.549999999999999">
      <c r="A76" s="1659"/>
      <c r="B76" s="1144"/>
      <c r="D76" s="1660"/>
      <c r="E76" s="1661"/>
      <c r="K76" s="4469"/>
      <c r="L76" s="4469"/>
      <c r="M76" s="4469"/>
      <c r="N76" s="4469"/>
      <c r="O76" s="4469"/>
      <c r="P76" s="4469"/>
      <c r="Q76" s="4469"/>
      <c r="R76" s="4469"/>
      <c r="AF76" s="1135">
        <v>11</v>
      </c>
    </row>
    <row s="34580" customFormat="1" customHeight="1" ht="11.25" hidden="1">
      <c r="A77" s="3018" t="s">
        <v>928</v>
      </c>
      <c r="B77" s="1137"/>
      <c r="D77" s="1291">
        <v>1</v>
      </c>
      <c r="E77" s="1292" t="s">
        <v>929</v>
      </c>
      <c r="F77" s="1347" t="s">
        <v>831</v>
      </c>
      <c r="G77" s="1350"/>
      <c r="H77" s="1649"/>
      <c r="I77" s="1350"/>
      <c r="J77" s="1649"/>
      <c r="K77" s="4930"/>
      <c r="L77" s="4907"/>
      <c r="M77" s="4930"/>
      <c r="N77" s="4907"/>
      <c r="O77" s="4930"/>
      <c r="P77" s="4907"/>
      <c r="Q77" s="4930"/>
      <c r="R77" s="4907"/>
      <c r="S77" s="915" t="s">
        <v>930</v>
      </c>
      <c r="AF77" s="1384">
        <v>0</v>
      </c>
    </row>
    <row s="34580" customFormat="1" customHeight="1" ht="11.25" hidden="1">
      <c r="A78" s="3018"/>
      <c r="B78" s="1137"/>
      <c r="D78" s="1291" t="s">
        <v>102</v>
      </c>
      <c r="E78" s="1292" t="s">
        <v>931</v>
      </c>
      <c r="F78" s="1347" t="s">
        <v>831</v>
      </c>
      <c r="G78" s="1350"/>
      <c r="H78" s="1649"/>
      <c r="I78" s="1350"/>
      <c r="J78" s="1649"/>
      <c r="K78" s="4930"/>
      <c r="L78" s="4907"/>
      <c r="M78" s="4930"/>
      <c r="N78" s="4907"/>
      <c r="O78" s="4930"/>
      <c r="P78" s="4907"/>
      <c r="Q78" s="4930"/>
      <c r="R78" s="4907"/>
      <c r="S78" s="915" t="s">
        <v>932</v>
      </c>
      <c r="AF78" s="1384">
        <v>0</v>
      </c>
    </row>
    <row s="34580" customFormat="1" customHeight="1" ht="22.5" hidden="1">
      <c r="A79" s="3018"/>
      <c r="B79" s="1137"/>
      <c r="D79" s="1291" t="s">
        <v>90</v>
      </c>
      <c r="E79" s="1348" t="s">
        <v>933</v>
      </c>
      <c r="F79" s="1286" t="s">
        <v>880</v>
      </c>
      <c r="G79" s="1350"/>
      <c r="H79" s="1649"/>
      <c r="I79" s="1350"/>
      <c r="J79" s="1649"/>
      <c r="K79" s="4930"/>
      <c r="L79" s="4907"/>
      <c r="M79" s="4930"/>
      <c r="N79" s="4907"/>
      <c r="O79" s="4930"/>
      <c r="P79" s="4907"/>
      <c r="Q79" s="4930"/>
      <c r="R79" s="4907"/>
      <c r="S79" s="915" t="s">
        <v>934</v>
      </c>
      <c r="AF79" s="1384">
        <v>0</v>
      </c>
    </row>
    <row s="34580" customFormat="1" customHeight="1" ht="11.25" hidden="1">
      <c r="A80" s="3018"/>
      <c r="B80" s="1137"/>
      <c r="D80" s="1291" t="s">
        <v>342</v>
      </c>
      <c r="E80" s="1349" t="s">
        <v>935</v>
      </c>
      <c r="F80" s="1286" t="s">
        <v>880</v>
      </c>
      <c r="G80" s="1350"/>
      <c r="H80" s="1649"/>
      <c r="I80" s="1350"/>
      <c r="J80" s="1649"/>
      <c r="K80" s="4930"/>
      <c r="L80" s="4907"/>
      <c r="M80" s="4930"/>
      <c r="N80" s="4907"/>
      <c r="O80" s="4930"/>
      <c r="P80" s="4907"/>
      <c r="Q80" s="4930"/>
      <c r="R80" s="4907"/>
      <c r="S80" s="915"/>
      <c r="AF80" s="1384">
        <v>0</v>
      </c>
    </row>
    <row s="34580" customFormat="1" customHeight="1" ht="11.25" hidden="1">
      <c r="A81" s="3018"/>
      <c r="B81" s="1137"/>
      <c r="D81" s="1291" t="s">
        <v>350</v>
      </c>
      <c r="E81" s="1349" t="s">
        <v>936</v>
      </c>
      <c r="F81" s="1286" t="s">
        <v>880</v>
      </c>
      <c r="G81" s="1350"/>
      <c r="H81" s="1649"/>
      <c r="I81" s="1350"/>
      <c r="J81" s="1649"/>
      <c r="K81" s="4930"/>
      <c r="L81" s="4907"/>
      <c r="M81" s="4930"/>
      <c r="N81" s="4907"/>
      <c r="O81" s="4930"/>
      <c r="P81" s="4907"/>
      <c r="Q81" s="4930"/>
      <c r="R81" s="4907"/>
      <c r="S81" s="915"/>
      <c r="AF81" s="1384">
        <v>0</v>
      </c>
    </row>
    <row s="34580" customFormat="1" customHeight="1" ht="11.25" hidden="1">
      <c r="A82" s="3018"/>
      <c r="B82" s="1137"/>
      <c r="D82" s="1291" t="s">
        <v>352</v>
      </c>
      <c r="E82" s="1349" t="s">
        <v>937</v>
      </c>
      <c r="F82" s="1286" t="s">
        <v>880</v>
      </c>
      <c r="G82" s="1350"/>
      <c r="H82" s="1649"/>
      <c r="I82" s="1350"/>
      <c r="J82" s="1649"/>
      <c r="K82" s="4930"/>
      <c r="L82" s="4907"/>
      <c r="M82" s="4930"/>
      <c r="N82" s="4907"/>
      <c r="O82" s="4930"/>
      <c r="P82" s="4907"/>
      <c r="Q82" s="4930"/>
      <c r="R82" s="4907"/>
      <c r="S82" s="915"/>
      <c r="AF82" s="1384">
        <v>0</v>
      </c>
    </row>
    <row s="34580" customFormat="1" customHeight="1" ht="11.25" hidden="1">
      <c r="A83" s="3018"/>
      <c r="B83" s="1137"/>
      <c r="D83" s="1291" t="s">
        <v>354</v>
      </c>
      <c r="E83" s="1349" t="s">
        <v>938</v>
      </c>
      <c r="F83" s="1286" t="s">
        <v>880</v>
      </c>
      <c r="G83" s="1350"/>
      <c r="H83" s="1649"/>
      <c r="I83" s="1350"/>
      <c r="J83" s="1649"/>
      <c r="K83" s="4930"/>
      <c r="L83" s="4907"/>
      <c r="M83" s="4930"/>
      <c r="N83" s="4907"/>
      <c r="O83" s="4930"/>
      <c r="P83" s="4907"/>
      <c r="Q83" s="4930"/>
      <c r="R83" s="4907"/>
      <c r="S83" s="915"/>
      <c r="AF83" s="1384">
        <v>0</v>
      </c>
    </row>
    <row s="34580" customFormat="1" customHeight="1" ht="11.25" hidden="1">
      <c r="A84" s="3018"/>
      <c r="B84" s="1137"/>
      <c r="D84" s="1291" t="s">
        <v>939</v>
      </c>
      <c r="E84" s="1349" t="s">
        <v>940</v>
      </c>
      <c r="F84" s="1286" t="s">
        <v>880</v>
      </c>
      <c r="G84" s="1350"/>
      <c r="H84" s="1649"/>
      <c r="I84" s="1350"/>
      <c r="J84" s="1649"/>
      <c r="K84" s="4930"/>
      <c r="L84" s="4907"/>
      <c r="M84" s="4930"/>
      <c r="N84" s="4907"/>
      <c r="O84" s="4930"/>
      <c r="P84" s="4907"/>
      <c r="Q84" s="4930"/>
      <c r="R84" s="4907"/>
      <c r="S84" s="915"/>
      <c r="AF84" s="1384">
        <v>0</v>
      </c>
    </row>
    <row s="34580" customFormat="1" customHeight="1" ht="11.25" hidden="1">
      <c r="A85" s="3018"/>
      <c r="B85" s="1137"/>
      <c r="D85" s="1291" t="s">
        <v>941</v>
      </c>
      <c r="E85" s="1349" t="s">
        <v>942</v>
      </c>
      <c r="F85" s="1286" t="s">
        <v>880</v>
      </c>
      <c r="G85" s="1350"/>
      <c r="H85" s="1649"/>
      <c r="I85" s="1350"/>
      <c r="J85" s="1649"/>
      <c r="K85" s="4930"/>
      <c r="L85" s="4907"/>
      <c r="M85" s="4930"/>
      <c r="N85" s="4907"/>
      <c r="O85" s="4930"/>
      <c r="P85" s="4907"/>
      <c r="Q85" s="4930"/>
      <c r="R85" s="4907"/>
      <c r="S85" s="915"/>
      <c r="AF85" s="1384">
        <v>0</v>
      </c>
    </row>
    <row s="34580" customFormat="1" customHeight="1" ht="11.25" hidden="1">
      <c r="A86" s="3018"/>
      <c r="B86" s="1137"/>
      <c r="D86" s="1291" t="s">
        <v>943</v>
      </c>
      <c r="E86" s="1349" t="s">
        <v>944</v>
      </c>
      <c r="F86" s="1286" t="s">
        <v>880</v>
      </c>
      <c r="G86" s="1350"/>
      <c r="H86" s="1649"/>
      <c r="I86" s="1350"/>
      <c r="J86" s="1649"/>
      <c r="K86" s="4930"/>
      <c r="L86" s="4907"/>
      <c r="M86" s="4930"/>
      <c r="N86" s="4907"/>
      <c r="O86" s="4930"/>
      <c r="P86" s="4907"/>
      <c r="Q86" s="4930"/>
      <c r="R86" s="4907"/>
      <c r="S86" s="915"/>
      <c r="AF86" s="1384">
        <v>0</v>
      </c>
    </row>
    <row s="34580" customFormat="1" customHeight="1" ht="45" hidden="1">
      <c r="A87" s="3018"/>
      <c r="B87" s="1137"/>
      <c r="D87" s="1291" t="s">
        <v>91</v>
      </c>
      <c r="E87" s="1292" t="s">
        <v>945</v>
      </c>
      <c r="F87" s="1286" t="s">
        <v>880</v>
      </c>
      <c r="G87" s="1350"/>
      <c r="H87" s="1649"/>
      <c r="I87" s="1350"/>
      <c r="J87" s="1649"/>
      <c r="K87" s="4930"/>
      <c r="L87" s="4907"/>
      <c r="M87" s="4930"/>
      <c r="N87" s="4907"/>
      <c r="O87" s="4930"/>
      <c r="P87" s="4907"/>
      <c r="Q87" s="4930"/>
      <c r="R87" s="4907"/>
      <c r="S87" s="915" t="s">
        <v>946</v>
      </c>
      <c r="AF87" s="1384">
        <v>0</v>
      </c>
    </row>
    <row s="34580" customFormat="1" customHeight="1" ht="11.25" hidden="1">
      <c r="A88" s="3018"/>
      <c r="B88" s="1137"/>
      <c r="D88" s="1291" t="s">
        <v>775</v>
      </c>
      <c r="E88" s="1349" t="s">
        <v>935</v>
      </c>
      <c r="F88" s="1286" t="s">
        <v>880</v>
      </c>
      <c r="G88" s="1350"/>
      <c r="H88" s="1649"/>
      <c r="I88" s="1350"/>
      <c r="J88" s="1649"/>
      <c r="K88" s="4930"/>
      <c r="L88" s="4907"/>
      <c r="M88" s="4930"/>
      <c r="N88" s="4907"/>
      <c r="O88" s="4930"/>
      <c r="P88" s="4907"/>
      <c r="Q88" s="4930"/>
      <c r="R88" s="4907"/>
      <c r="S88" s="915"/>
      <c r="AF88" s="1384">
        <v>0</v>
      </c>
    </row>
    <row s="34580" customFormat="1" customHeight="1" ht="11.25" hidden="1">
      <c r="A89" s="3018"/>
      <c r="B89" s="1137"/>
      <c r="D89" s="1291" t="s">
        <v>817</v>
      </c>
      <c r="E89" s="1349" t="s">
        <v>936</v>
      </c>
      <c r="F89" s="1286" t="s">
        <v>880</v>
      </c>
      <c r="G89" s="1350"/>
      <c r="H89" s="1649"/>
      <c r="I89" s="1350"/>
      <c r="J89" s="1649"/>
      <c r="K89" s="4930"/>
      <c r="L89" s="4907"/>
      <c r="M89" s="4930"/>
      <c r="N89" s="4907"/>
      <c r="O89" s="4930"/>
      <c r="P89" s="4907"/>
      <c r="Q89" s="4930"/>
      <c r="R89" s="4907"/>
      <c r="S89" s="915"/>
      <c r="AF89" s="1384">
        <v>0</v>
      </c>
    </row>
    <row s="34580" customFormat="1" customHeight="1" ht="11.25" hidden="1">
      <c r="A90" s="3018"/>
      <c r="B90" s="1137"/>
      <c r="D90" s="1291" t="s">
        <v>820</v>
      </c>
      <c r="E90" s="1349" t="s">
        <v>937</v>
      </c>
      <c r="F90" s="1286" t="s">
        <v>880</v>
      </c>
      <c r="G90" s="1350"/>
      <c r="H90" s="1649"/>
      <c r="I90" s="1350"/>
      <c r="J90" s="1649"/>
      <c r="K90" s="4930"/>
      <c r="L90" s="4907"/>
      <c r="M90" s="4930"/>
      <c r="N90" s="4907"/>
      <c r="O90" s="4930"/>
      <c r="P90" s="4907"/>
      <c r="Q90" s="4930"/>
      <c r="R90" s="4907"/>
      <c r="S90" s="915"/>
      <c r="AF90" s="1384">
        <v>0</v>
      </c>
    </row>
    <row s="34580" customFormat="1" customHeight="1" ht="11.25" hidden="1">
      <c r="A91" s="3018"/>
      <c r="B91" s="1137"/>
      <c r="D91" s="1291" t="s">
        <v>898</v>
      </c>
      <c r="E91" s="1349" t="s">
        <v>938</v>
      </c>
      <c r="F91" s="1286" t="s">
        <v>880</v>
      </c>
      <c r="G91" s="1350"/>
      <c r="H91" s="1649"/>
      <c r="I91" s="1350"/>
      <c r="J91" s="1649"/>
      <c r="K91" s="4930"/>
      <c r="L91" s="4907"/>
      <c r="M91" s="4930"/>
      <c r="N91" s="4907"/>
      <c r="O91" s="4930"/>
      <c r="P91" s="4907"/>
      <c r="Q91" s="4930"/>
      <c r="R91" s="4907"/>
      <c r="S91" s="915"/>
      <c r="AF91" s="1384">
        <v>0</v>
      </c>
    </row>
    <row s="34580" customFormat="1" customHeight="1" ht="11.25" hidden="1">
      <c r="A92" s="3018"/>
      <c r="B92" s="1137"/>
      <c r="D92" s="1291" t="s">
        <v>900</v>
      </c>
      <c r="E92" s="1349" t="s">
        <v>940</v>
      </c>
      <c r="F92" s="1286" t="s">
        <v>880</v>
      </c>
      <c r="G92" s="1350"/>
      <c r="H92" s="1649"/>
      <c r="I92" s="1350"/>
      <c r="J92" s="1649"/>
      <c r="K92" s="4930"/>
      <c r="L92" s="4907"/>
      <c r="M92" s="4930"/>
      <c r="N92" s="4907"/>
      <c r="O92" s="4930"/>
      <c r="P92" s="4907"/>
      <c r="Q92" s="4930"/>
      <c r="R92" s="4907"/>
      <c r="S92" s="915"/>
      <c r="AF92" s="1384">
        <v>0</v>
      </c>
    </row>
    <row s="34580" customFormat="1" customHeight="1" ht="11.25" hidden="1">
      <c r="A93" s="3018"/>
      <c r="B93" s="1137"/>
      <c r="D93" s="1291" t="s">
        <v>947</v>
      </c>
      <c r="E93" s="1349" t="s">
        <v>942</v>
      </c>
      <c r="F93" s="1286" t="s">
        <v>880</v>
      </c>
      <c r="G93" s="1350"/>
      <c r="H93" s="1649"/>
      <c r="I93" s="1350"/>
      <c r="J93" s="1649"/>
      <c r="K93" s="4930"/>
      <c r="L93" s="4907"/>
      <c r="M93" s="4930"/>
      <c r="N93" s="4907"/>
      <c r="O93" s="4930"/>
      <c r="P93" s="4907"/>
      <c r="Q93" s="4930"/>
      <c r="R93" s="4907"/>
      <c r="S93" s="915"/>
      <c r="AF93" s="1384">
        <v>0</v>
      </c>
    </row>
    <row s="34580" customFormat="1" customHeight="1" ht="11.25" hidden="1">
      <c r="A94" s="3018"/>
      <c r="B94" s="1137"/>
      <c r="D94" s="1291" t="s">
        <v>948</v>
      </c>
      <c r="E94" s="1349" t="s">
        <v>944</v>
      </c>
      <c r="F94" s="1286" t="s">
        <v>880</v>
      </c>
      <c r="G94" s="1350"/>
      <c r="H94" s="1649"/>
      <c r="I94" s="1350"/>
      <c r="J94" s="1649"/>
      <c r="K94" s="4930"/>
      <c r="L94" s="4907"/>
      <c r="M94" s="4930"/>
      <c r="N94" s="4907"/>
      <c r="O94" s="4930"/>
      <c r="P94" s="4907"/>
      <c r="Q94" s="4930"/>
      <c r="R94" s="4907"/>
      <c r="S94" s="915"/>
      <c r="AF94" s="1384">
        <v>0</v>
      </c>
    </row>
    <row s="34580" customFormat="1" customHeight="1" ht="24.75" hidden="1">
      <c r="A95" s="3018"/>
      <c r="B95" s="1137"/>
      <c r="D95" s="1291" t="s">
        <v>119</v>
      </c>
      <c r="E95" s="1292" t="s">
        <v>949</v>
      </c>
      <c r="F95" s="1351" t="s">
        <v>576</v>
      </c>
      <c r="G95" s="1353"/>
      <c r="H95" s="1649"/>
      <c r="I95" s="1353"/>
      <c r="J95" s="1649"/>
      <c r="K95" s="4768"/>
      <c r="L95" s="4907"/>
      <c r="M95" s="4768"/>
      <c r="N95" s="4907"/>
      <c r="O95" s="4768"/>
      <c r="P95" s="4907"/>
      <c r="Q95" s="4768"/>
      <c r="R95" s="4907"/>
      <c r="S95" s="915" t="s">
        <v>950</v>
      </c>
      <c r="AF95" s="1384">
        <v>0</v>
      </c>
    </row>
    <row s="34580" customFormat="1" customHeight="1" ht="33.75" hidden="1">
      <c r="A96" s="3018"/>
      <c r="B96" s="1137"/>
      <c r="D96" s="1291" t="s">
        <v>92</v>
      </c>
      <c r="E96" s="1292" t="s">
        <v>951</v>
      </c>
      <c r="F96" s="1352" t="s">
        <v>841</v>
      </c>
      <c r="G96" s="1354"/>
      <c r="H96" s="1649"/>
      <c r="I96" s="1354"/>
      <c r="J96" s="1649"/>
      <c r="K96" s="4933"/>
      <c r="L96" s="4907"/>
      <c r="M96" s="4933"/>
      <c r="N96" s="4907"/>
      <c r="O96" s="4933"/>
      <c r="P96" s="4907"/>
      <c r="Q96" s="4933"/>
      <c r="R96" s="4907"/>
      <c r="S96" s="915"/>
      <c r="AF96" s="1384">
        <v>0</v>
      </c>
    </row>
    <row s="34580" customFormat="1" customHeight="1" ht="22.5" hidden="1">
      <c r="A97" s="3018"/>
      <c r="B97" s="1137" t="s">
        <v>606</v>
      </c>
      <c r="D97" s="1291" t="s">
        <v>93</v>
      </c>
      <c r="E97" s="1292" t="s">
        <v>952</v>
      </c>
      <c r="F97" s="1352" t="s">
        <v>324</v>
      </c>
      <c r="G97" s="1011"/>
      <c r="H97" s="1649"/>
      <c r="I97" s="1011"/>
      <c r="J97" s="1649"/>
      <c r="K97" s="4777"/>
      <c r="L97" s="4907"/>
      <c r="M97" s="4777"/>
      <c r="N97" s="4907"/>
      <c r="O97" s="4777"/>
      <c r="P97" s="4907"/>
      <c r="Q97" s="4777"/>
      <c r="R97" s="4907"/>
      <c r="S97" s="915" t="s">
        <v>653</v>
      </c>
      <c r="AF97" s="1384">
        <v>0</v>
      </c>
    </row>
    <row s="34580" customFormat="1" customHeight="1" ht="45" hidden="1">
      <c r="A98" s="3018"/>
      <c r="B98" s="1137" t="s">
        <v>606</v>
      </c>
      <c r="D98" s="1291" t="s">
        <v>953</v>
      </c>
      <c r="E98" s="1293" t="s">
        <v>954</v>
      </c>
      <c r="F98" s="1347" t="s">
        <v>324</v>
      </c>
      <c r="G98" s="1011"/>
      <c r="H98" s="1649"/>
      <c r="I98" s="1011"/>
      <c r="J98" s="1649"/>
      <c r="K98" s="4777"/>
      <c r="L98" s="4907"/>
      <c r="M98" s="4777"/>
      <c r="N98" s="4907"/>
      <c r="O98" s="4777"/>
      <c r="P98" s="4907"/>
      <c r="Q98" s="4777"/>
      <c r="R98" s="4907"/>
      <c r="S98" s="915" t="s">
        <v>653</v>
      </c>
      <c r="AF98" s="1384">
        <v>0</v>
      </c>
    </row>
    <row s="34580" customFormat="1" customHeight="1" ht="95.25" hidden="1">
      <c r="A99" s="3018"/>
      <c r="B99" s="1137" t="s">
        <v>606</v>
      </c>
      <c r="D99" s="1291" t="s">
        <v>120</v>
      </c>
      <c r="E99" s="1292" t="s">
        <v>955</v>
      </c>
      <c r="F99" s="1347" t="s">
        <v>324</v>
      </c>
      <c r="G99" s="1011"/>
      <c r="H99" s="1649"/>
      <c r="I99" s="1011"/>
      <c r="J99" s="1649"/>
      <c r="K99" s="4777"/>
      <c r="L99" s="4907"/>
      <c r="M99" s="4777"/>
      <c r="N99" s="4907"/>
      <c r="O99" s="4777"/>
      <c r="P99" s="4907"/>
      <c r="Q99" s="4777"/>
      <c r="R99" s="4907"/>
      <c r="S99" s="915" t="s">
        <v>653</v>
      </c>
      <c r="AF99" s="1384">
        <v>0</v>
      </c>
    </row>
    <row s="34580" customFormat="1" customHeight="1" ht="22.5" hidden="1">
      <c r="A100" s="3018"/>
      <c r="B100" s="1137" t="s">
        <v>606</v>
      </c>
      <c r="D100" s="1291" t="s">
        <v>168</v>
      </c>
      <c r="E100" s="1292" t="s">
        <v>956</v>
      </c>
      <c r="F100" s="1347" t="s">
        <v>324</v>
      </c>
      <c r="G100" s="1011"/>
      <c r="H100" s="1649"/>
      <c r="I100" s="1011"/>
      <c r="J100" s="1649"/>
      <c r="K100" s="4777"/>
      <c r="L100" s="4907"/>
      <c r="M100" s="4777"/>
      <c r="N100" s="4907"/>
      <c r="O100" s="4777"/>
      <c r="P100" s="4907"/>
      <c r="Q100" s="4777"/>
      <c r="R100" s="4907"/>
      <c r="S100" s="915" t="s">
        <v>653</v>
      </c>
      <c r="AF100" s="1384">
        <v>0</v>
      </c>
    </row>
    <row s="34580" customFormat="1" customHeight="1" ht="11.549999999999999">
      <c r="A101" s="1659"/>
      <c r="B101" s="1144"/>
      <c r="D101" s="1660"/>
      <c r="E101" s="1661"/>
      <c r="K101" s="4469"/>
      <c r="L101" s="4469"/>
      <c r="M101" s="4469"/>
      <c r="N101" s="4469"/>
      <c r="O101" s="4469"/>
      <c r="P101" s="4469"/>
      <c r="Q101" s="4469"/>
      <c r="R101" s="4469"/>
      <c r="AF101" s="1135">
        <v>11</v>
      </c>
    </row>
    <row customHeight="1" ht="22.5" hidden="1">
      <c r="A102" s="1162" t="s">
        <v>82</v>
      </c>
      <c r="B102" s="1137">
        <v>0</v>
      </c>
      <c r="C102" s="1131">
        <v>3</v>
      </c>
      <c r="D102" s="1131">
        <v>7</v>
      </c>
      <c r="E102" s="1131">
        <v>69</v>
      </c>
      <c r="F102" s="1131">
        <v>10</v>
      </c>
      <c r="G102" s="1131">
        <v>0</v>
      </c>
      <c r="H102" s="1131">
        <v>0</v>
      </c>
      <c r="I102" s="1384">
        <v>43</v>
      </c>
      <c r="J102" s="1384">
        <v>43</v>
      </c>
      <c r="K102" s="4469">
        <v>0</v>
      </c>
      <c r="L102" s="4469">
        <v>0</v>
      </c>
      <c r="M102" s="4469">
        <v>0</v>
      </c>
      <c r="N102" s="4469">
        <v>0</v>
      </c>
      <c r="O102" s="4469">
        <v>0</v>
      </c>
      <c r="P102" s="4469">
        <v>0</v>
      </c>
      <c r="Q102" s="4469">
        <v>0</v>
      </c>
      <c r="R102" s="4469">
        <v>0</v>
      </c>
      <c r="S102" s="1131">
        <v>73</v>
      </c>
      <c r="T102" s="1131">
        <v>3</v>
      </c>
      <c r="U102" s="1131">
        <v>10</v>
      </c>
      <c r="V102" s="1131">
        <v>10</v>
      </c>
      <c r="W102" s="1131">
        <v>10</v>
      </c>
      <c r="X102" s="1131">
        <v>10</v>
      </c>
      <c r="Y102" s="1131">
        <v>10</v>
      </c>
      <c r="Z102" s="1131">
        <v>10</v>
      </c>
      <c r="AA102" s="1131">
        <v>10</v>
      </c>
      <c r="AB102" s="1131">
        <v>10</v>
      </c>
      <c r="AC102" s="1131">
        <v>10</v>
      </c>
      <c r="AD102" s="1131">
        <v>10</v>
      </c>
      <c r="AE102" s="1131">
        <v>10</v>
      </c>
      <c r="AF102" s="1131">
        <v>23</v>
      </c>
    </row>
  </sheetData>
  <sheetProtection sheet="1" formatColumns="0" formatRows="0" autoFilter="0" sort="1" insertRows="1" insertColumns="1" deleteRows="1" deleteColumns="1"/>
  <mergeCells count="30">
    <mergeCell ref="D3:F3"/>
    <mergeCell ref="S7: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G62:G63 G74:G75 G97:G100 I62:I63 I74:I75 I97:I100 H13:H14 H19 J19 L19 N19 P19 R19 J13:J14 L13:L14 N13:N14 P13:P14 R13:R14 K62 K63 K74 K75 K97 K98 K99 K100 M62 M63 M74 M75 M97 M98 M99 M100 O62 O63 O74 O75 O97 O98 O99 O100 Q62 Q63 Q74 Q75 Q97 Q98 Q99 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J15:J18 L15:L18 N15:N18 P15:P18 R15:R18 J21:J22 L21:L22 N21:N22 P21:P22 R21:R22 J29:J30 L29:L30 N29:N30 P29:P30 R29:R30 J24 L24 N24 P24 R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486E83-0FD6-9086-84AD-0214FE57C6FA}" mc:Ignorable="x14ac xr xr2 xr3">
  <sheetPr>
    <tabColor rgb="FFCCCCFF"/>
  </sheetPr>
  <dimension ref="A1:AM27"/>
  <sheetViews>
    <sheetView showGridLines="0" zoomScale="90" workbookViewId="0">
      <pane xSplit="4" ySplit="12" topLeftCell="E13" activePane="bottomRight" state="frozen"/>
      <selection pane="bottomLeft" activeCell="A13" sqref="A13"/>
      <selection pane="topRight" activeCell="E1" sqref="E1"/>
      <selection pane="bottomRight" activeCell="M18" sqref="M18"/>
    </sheetView>
  </sheetViews>
  <sheetFormatPr defaultColWidth="9.140625" customHeight="1" defaultRowHeight="11.25"/>
  <cols>
    <col min="1" max="1" style="34794" width="6.421875" hidden="1" customWidth="1"/>
    <col min="2" max="2" style="34794" width="2.00390625" hidden="1" customWidth="1"/>
    <col min="3" max="3" style="34794" width="3.00390625" customWidth="1"/>
    <col min="4" max="4" style="34794" width="4.00390625" customWidth="1"/>
    <col min="5" max="5" style="34794" width="44.00390625" customWidth="1"/>
    <col min="6" max="6" style="34794" width="6.421875" customWidth="1"/>
    <col min="7" max="7" style="34794" width="4.00390625" customWidth="1"/>
    <col min="8" max="8" style="34794" width="5.00390625" customWidth="1"/>
    <col min="9" max="9" style="34794" width="52.00390625" customWidth="1"/>
    <col min="10" max="10" style="34794" width="7.00390625" customWidth="1"/>
    <col min="11" max="11" style="34794" width="3.00390625" customWidth="1"/>
    <col min="12" max="12" style="34794" width="6.00390625" customWidth="1"/>
    <col min="13" max="13" style="34794" width="56.00390625" customWidth="1"/>
    <col min="14" max="14" style="34857" width="8.00390625" customWidth="1"/>
    <col min="15" max="20" style="34757" width="9.140625" hidden="1"/>
    <col min="21" max="24" style="34858" width="9.140625" hidden="1"/>
    <col min="25" max="37" style="34857" width="9.140625" hidden="1"/>
    <col min="38" max="38" style="34857" width="8.00390625" customWidth="1"/>
    <col min="39" max="39" style="34794" width="9.140625" hidden="1"/>
  </cols>
  <sheetData>
    <row customHeight="1" ht="11.25" hidden="1">
      <c r="AM1" s="1209" t="s">
        <v>14</v>
      </c>
    </row>
    <row customHeight="1" ht="11.25" hidden="1">
      <c r="AM2" s="1209">
        <v>0</v>
      </c>
    </row>
    <row customHeight="1" ht="11.549999999999999">
      <c r="AM3" s="1209">
        <v>11</v>
      </c>
    </row>
    <row customHeight="1" ht="35.699999999999996">
      <c r="A4" s="1211"/>
      <c r="B4" s="1211"/>
      <c r="D4" s="2745"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746"/>
      <c r="F4" s="2746"/>
      <c r="G4" s="2746"/>
      <c r="H4" s="2746"/>
      <c r="I4" s="2747"/>
      <c r="J4" s="1210"/>
      <c r="K4" s="1210"/>
      <c r="L4" s="1210"/>
      <c r="M4" s="1210"/>
      <c r="AM4" s="1209">
        <v>34</v>
      </c>
    </row>
    <row s="34765" customFormat="1" customHeight="1" ht="14.699999999999998">
      <c r="A5" s="1211"/>
      <c r="B5" s="1211"/>
      <c r="C5" s="1211"/>
      <c r="D5" s="2748" t="str">
        <f>IF(org=0,"Не определено",org)</f>
        <v>АО "ДГК"</v>
      </c>
      <c r="E5" s="2749"/>
      <c r="F5" s="2749"/>
      <c r="G5" s="2749"/>
      <c r="H5" s="2749"/>
      <c r="I5" s="2750"/>
      <c r="J5" s="1212"/>
      <c r="K5" s="1212"/>
      <c r="L5" s="1212"/>
      <c r="M5" s="1212"/>
      <c r="N5" s="1212"/>
      <c r="O5" s="1496"/>
      <c r="P5" s="1496"/>
      <c r="Q5" s="1496"/>
      <c r="R5" s="1496"/>
      <c r="S5" s="1496"/>
      <c r="T5" s="1496"/>
      <c r="U5" s="1887"/>
      <c r="V5" s="1887"/>
      <c r="W5" s="1887"/>
      <c r="X5" s="1887"/>
      <c r="Y5" s="1212"/>
      <c r="Z5" s="1212"/>
      <c r="AA5" s="1212"/>
      <c r="AB5" s="1212"/>
      <c r="AC5" s="1212"/>
      <c r="AD5" s="1212"/>
      <c r="AE5" s="1212"/>
      <c r="AF5" s="1212"/>
      <c r="AG5" s="1212"/>
      <c r="AH5" s="1212"/>
      <c r="AI5" s="1212"/>
      <c r="AJ5" s="1212"/>
      <c r="AK5" s="1212"/>
      <c r="AL5" s="1212"/>
      <c r="AM5" s="1213">
        <v>14</v>
      </c>
    </row>
    <row s="34765" customFormat="1" customHeight="1" ht="6.3">
      <c r="A6" s="2751"/>
      <c r="B6" s="2751"/>
      <c r="C6" s="2751"/>
      <c r="D6" s="2751"/>
      <c r="E6" s="2751"/>
      <c r="F6" s="2751"/>
      <c r="G6" s="1214"/>
      <c r="H6" s="1214"/>
      <c r="I6" s="1214"/>
      <c r="J6" s="1214"/>
      <c r="K6" s="1214"/>
      <c r="N6" s="1216"/>
      <c r="O6" s="2040"/>
      <c r="P6" s="2040"/>
      <c r="Q6" s="2040"/>
      <c r="R6" s="2040"/>
      <c r="S6" s="2040"/>
      <c r="T6" s="2040"/>
      <c r="U6" s="1890"/>
      <c r="V6" s="1890"/>
      <c r="W6" s="1890"/>
      <c r="X6" s="1890"/>
      <c r="Y6" s="1216"/>
      <c r="Z6" s="1216"/>
      <c r="AA6" s="1216"/>
      <c r="AB6" s="1216"/>
      <c r="AC6" s="1216"/>
      <c r="AD6" s="1216"/>
      <c r="AE6" s="1216"/>
      <c r="AF6" s="1216"/>
      <c r="AG6" s="1216"/>
      <c r="AH6" s="1216"/>
      <c r="AI6" s="1216"/>
      <c r="AJ6" s="1216"/>
      <c r="AK6" s="1216"/>
      <c r="AL6" s="1216"/>
      <c r="AM6" s="1215">
        <v>6</v>
      </c>
    </row>
    <row customHeight="1" ht="45.75" hidden="1">
      <c r="E7" s="27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57"/>
      <c r="G7" s="2757"/>
      <c r="H7" s="2757"/>
      <c r="I7" s="2757"/>
      <c r="J7" s="2757"/>
      <c r="K7" s="2757"/>
      <c r="L7" s="2757"/>
      <c r="M7" s="2757"/>
      <c r="AM7" s="1209">
        <v>0</v>
      </c>
    </row>
    <row s="34765" customFormat="1" customHeight="1" ht="6.3">
      <c r="A8" s="1217"/>
      <c r="B8" s="1217"/>
      <c r="C8" s="1217"/>
      <c r="D8" s="1217"/>
      <c r="E8" s="1217"/>
      <c r="F8" s="1217"/>
      <c r="G8" s="1217"/>
      <c r="H8" s="1217"/>
      <c r="I8" s="1217"/>
      <c r="J8" s="1217"/>
      <c r="K8" s="1217"/>
      <c r="L8" s="1217"/>
      <c r="M8" s="1215"/>
      <c r="N8" s="1212"/>
      <c r="O8" s="1496"/>
      <c r="P8" s="1496"/>
      <c r="Q8" s="1496"/>
      <c r="R8" s="1496"/>
      <c r="S8" s="1496"/>
      <c r="T8" s="1496"/>
      <c r="U8" s="1887"/>
      <c r="V8" s="1887"/>
      <c r="W8" s="1887"/>
      <c r="X8" s="1887"/>
      <c r="Y8" s="1212"/>
      <c r="Z8" s="1212"/>
      <c r="AA8" s="1212"/>
      <c r="AB8" s="1212"/>
      <c r="AC8" s="1212"/>
      <c r="AD8" s="1212"/>
      <c r="AE8" s="1212"/>
      <c r="AF8" s="1212"/>
      <c r="AG8" s="1212"/>
      <c r="AH8" s="1212"/>
      <c r="AI8" s="1212"/>
      <c r="AJ8" s="1212"/>
      <c r="AK8" s="1212"/>
      <c r="AL8" s="1212"/>
      <c r="AM8" s="1213">
        <v>6</v>
      </c>
    </row>
    <row customHeight="1" ht="18.75">
      <c r="A9" s="2752"/>
      <c r="B9" s="949"/>
      <c r="C9" s="949"/>
      <c r="D9" s="2753" t="s">
        <v>114</v>
      </c>
      <c r="E9" s="2753"/>
      <c r="F9" s="2754" t="s">
        <v>115</v>
      </c>
      <c r="G9" s="2755"/>
      <c r="H9" s="2755"/>
      <c r="I9" s="2755"/>
      <c r="J9" s="2758" t="s">
        <v>116</v>
      </c>
      <c r="K9" s="2758"/>
      <c r="L9" s="2758"/>
      <c r="M9" s="2758"/>
      <c r="AM9" s="1209">
        <v>18</v>
      </c>
    </row>
    <row customHeight="1" ht="24">
      <c r="A10" s="2752"/>
      <c r="B10" s="1218"/>
      <c r="C10" s="1151"/>
      <c r="D10" s="1149" t="s">
        <v>88</v>
      </c>
      <c r="E10" s="1149" t="s">
        <v>89</v>
      </c>
      <c r="F10" s="1149" t="s">
        <v>117</v>
      </c>
      <c r="G10" s="2759" t="s">
        <v>88</v>
      </c>
      <c r="H10" s="2760"/>
      <c r="I10" s="1149" t="s">
        <v>89</v>
      </c>
      <c r="J10" s="1149" t="s">
        <v>117</v>
      </c>
      <c r="K10" s="2759" t="s">
        <v>88</v>
      </c>
      <c r="L10" s="2760"/>
      <c r="M10" s="1149" t="s">
        <v>89</v>
      </c>
      <c r="N10" s="2253"/>
      <c r="AM10" s="1209">
        <v>23</v>
      </c>
    </row>
    <row s="34794" customFormat="1" customHeight="1" ht="11.25" hidden="1">
      <c r="A11" s="1219"/>
      <c r="B11" s="1219"/>
      <c r="C11" s="1219"/>
      <c r="D11" s="1220" t="s">
        <v>118</v>
      </c>
      <c r="E11" s="1220" t="s">
        <v>102</v>
      </c>
      <c r="F11" s="1220" t="s">
        <v>90</v>
      </c>
      <c r="G11" s="2741" t="s">
        <v>91</v>
      </c>
      <c r="H11" s="2742"/>
      <c r="I11" s="1220" t="s">
        <v>119</v>
      </c>
      <c r="J11" s="1220" t="s">
        <v>92</v>
      </c>
      <c r="K11" s="2743" t="s">
        <v>93</v>
      </c>
      <c r="L11" s="2744"/>
      <c r="M11" s="1220" t="s">
        <v>120</v>
      </c>
      <c r="N11" s="2252"/>
      <c r="O11" s="2039"/>
      <c r="P11" s="2041"/>
      <c r="Q11" s="2041"/>
      <c r="R11" s="2041"/>
      <c r="S11" s="2041"/>
      <c r="T11" s="2041"/>
      <c r="U11" s="1891"/>
      <c r="V11" s="1891"/>
      <c r="W11" s="1891"/>
      <c r="X11" s="1891"/>
      <c r="Y11" s="1221"/>
      <c r="Z11" s="1221"/>
      <c r="AA11" s="1221"/>
      <c r="AB11" s="1221"/>
      <c r="AC11" s="1221"/>
      <c r="AD11" s="1221"/>
      <c r="AE11" s="1221"/>
      <c r="AF11" s="1221"/>
      <c r="AG11" s="1221"/>
      <c r="AH11" s="1221"/>
      <c r="AI11" s="1221"/>
      <c r="AJ11" s="1221"/>
      <c r="AK11" s="1221"/>
      <c r="AL11" s="1221"/>
      <c r="AM11" s="1222">
        <v>0</v>
      </c>
    </row>
    <row customHeight="1" ht="1.05">
      <c r="A12" s="1223"/>
      <c r="B12" s="1224"/>
      <c r="C12" s="1224"/>
      <c r="D12" s="1225"/>
      <c r="E12" s="993"/>
      <c r="F12" s="1226"/>
      <c r="G12" s="1685"/>
      <c r="H12" s="1685"/>
      <c r="I12" s="1226"/>
      <c r="J12" s="1226"/>
      <c r="K12" s="800"/>
      <c r="L12" s="993"/>
      <c r="M12" s="1227"/>
      <c r="N12" s="2253"/>
      <c r="O12" s="2039" t="s">
        <v>121</v>
      </c>
      <c r="P12" s="2039" t="s">
        <v>122</v>
      </c>
      <c r="Q12" s="2039" t="s">
        <v>123</v>
      </c>
      <c r="R12" s="2039" t="s">
        <v>124</v>
      </c>
      <c r="AM12" s="1209">
        <v>1</v>
      </c>
    </row>
    <row s="34794" customFormat="1" customHeight="1" ht="15.75">
      <c r="A13" s="919"/>
      <c r="B13" s="919"/>
      <c r="C13" s="1152"/>
      <c r="D13" s="2734" t="s">
        <v>118</v>
      </c>
      <c r="E13" s="2735" t="str">
        <f>INDEX(VD_NAME_LIST,MATCH("4190066",VD_ID_LIST,0))&amp;"; "&amp;INDEX(VD_NAME_LIST,MATCH("4190068",VD_ID_LIST,0))&amp;"; "&amp;INDEX(VD_NAME_LIST,MATCH("4190070",VD_ID_LIST,0))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F13" s="2738" t="s">
        <v>66</v>
      </c>
      <c r="G13" s="2739"/>
      <c r="H13" s="2740">
        <v>1</v>
      </c>
      <c r="I13" s="2731" t="str">
        <f>IF(U13="","",INDEX(TERRITORY_MR_LIST,MATCH(U13,TERRITORY_LIST_ID,0)))</f>
        <v>Территория 1</v>
      </c>
      <c r="J13" s="2733" t="s">
        <v>66</v>
      </c>
      <c r="K13" s="1228"/>
      <c r="L13" s="1153" t="s">
        <v>118</v>
      </c>
      <c r="M13" s="3581" t="s">
        <v>125</v>
      </c>
      <c r="N13" s="1438"/>
      <c r="O13" s="2042" t="s">
        <v>126</v>
      </c>
      <c r="P13" s="2039" t="str">
        <f>$E$13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Q13" s="2039" t="str">
        <f>IF($F$13="нет","без дифференциации",$I$13)</f>
        <v>Территория 1</v>
      </c>
      <c r="R13" s="2039" t="str">
        <f>IF($J$13="нет","без дифференциации",M13)</f>
        <v>Благовещенская ТЭЦ (г. Благовещенск)</v>
      </c>
      <c r="S13" s="2042"/>
      <c r="T13" s="2042"/>
      <c r="U13" s="1892" t="s">
        <v>98</v>
      </c>
      <c r="V13" s="1892" t="s">
        <v>127</v>
      </c>
      <c r="W13" s="1892"/>
      <c r="X13" s="1892"/>
      <c r="Y13" s="1230" t="s">
        <v>128</v>
      </c>
      <c r="Z13" s="1230">
        <v>1705000</v>
      </c>
      <c r="AA13" s="1230"/>
      <c r="AB13" s="1230"/>
      <c r="AC13" s="1230"/>
      <c r="AD13" s="1230"/>
      <c r="AE13" s="1230"/>
      <c r="AF13" s="1230"/>
      <c r="AG13" s="1230"/>
      <c r="AH13" s="1230"/>
      <c r="AI13" s="1230"/>
      <c r="AJ13" s="1230"/>
      <c r="AK13" s="1230"/>
      <c r="AL13" s="1230"/>
      <c r="AM13" s="1232">
        <v>15</v>
      </c>
    </row>
    <row s="34794" customFormat="1" customHeight="1" ht="15.75">
      <c r="A14" s="919"/>
      <c r="B14" s="919"/>
      <c r="C14" s="802"/>
      <c r="D14" s="2734"/>
      <c r="E14" s="2736"/>
      <c r="F14" s="2733"/>
      <c r="G14" s="2739"/>
      <c r="H14" s="2740"/>
      <c r="I14" s="2732"/>
      <c r="J14" s="2733"/>
      <c r="K14" s="1047"/>
      <c r="L14" s="803"/>
      <c r="M14" s="1233" t="s">
        <v>129</v>
      </c>
      <c r="N14" s="1438"/>
      <c r="O14" s="2042"/>
      <c r="P14" s="2039"/>
      <c r="Q14" s="2039"/>
      <c r="R14" s="2039"/>
      <c r="S14" s="2042"/>
      <c r="T14" s="2042"/>
      <c r="U14" s="1892"/>
      <c r="V14" s="1892"/>
      <c r="W14" s="1892"/>
      <c r="X14" s="1892"/>
      <c r="Y14" s="1230"/>
      <c r="Z14" s="1230"/>
      <c r="AA14" s="1230"/>
      <c r="AB14" s="1230"/>
      <c r="AC14" s="1230"/>
      <c r="AD14" s="1230"/>
      <c r="AE14" s="1230"/>
      <c r="AF14" s="1230"/>
      <c r="AG14" s="1230"/>
      <c r="AH14" s="1230"/>
      <c r="AI14" s="1230"/>
      <c r="AJ14" s="1230"/>
      <c r="AK14" s="1230"/>
      <c r="AL14" s="1230"/>
      <c r="AM14" s="1232">
        <v>15</v>
      </c>
    </row>
    <row customHeight="1" ht="15">
      <c r="A15" s="1049"/>
      <c r="B15" s="1049"/>
      <c r="C15" s="802"/>
      <c r="D15" s="2447"/>
      <c r="E15" s="2447"/>
      <c r="F15" s="2447"/>
      <c r="G15" s="3187" t="s">
        <v>103</v>
      </c>
      <c r="H15" s="2729" t="s">
        <v>102</v>
      </c>
      <c r="I15" s="3188" t="str">
        <f>IF(U15="","",INDEX(TERRITORY_MR_LIST,MATCH(U15,TERRITORY_LIST_ID,0)))</f>
        <v>Территория 2</v>
      </c>
      <c r="J15" s="2733" t="s">
        <v>66</v>
      </c>
      <c r="K15" s="1458"/>
      <c r="L15" s="2408" t="s">
        <v>118</v>
      </c>
      <c r="M15" s="3581" t="s">
        <v>130</v>
      </c>
      <c r="N15" s="1230"/>
      <c r="O15" s="1230" t="s">
        <v>131</v>
      </c>
      <c r="P15" s="1230" t="str">
        <f>$E$13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Q15" s="1230" t="str">
        <f>IF($F$15="нет","без дифференциации",$I$15)</f>
        <v>Территория 2</v>
      </c>
      <c r="R15" s="1230" t="str">
        <f>IF($J$15="нет","без дифференциации",$M$15)</f>
        <v>Райчихинская ГРЭС </v>
      </c>
      <c r="S15" s="1230"/>
      <c r="T15" s="1230"/>
      <c r="U15" s="1231" t="s">
        <v>104</v>
      </c>
      <c r="V15" s="1230"/>
      <c r="W15" s="1230"/>
      <c r="X15" s="1221"/>
      <c r="Y15" s="1221" t="s">
        <v>128</v>
      </c>
      <c r="Z15" s="1221">
        <v>1705000</v>
      </c>
      <c r="AA15" s="1221"/>
      <c r="AB15" s="1221"/>
      <c r="AC15" s="1221"/>
      <c r="AD15" s="1221"/>
      <c r="AE15" s="1221"/>
      <c r="AF15" s="1221"/>
      <c r="AG15" s="1221"/>
      <c r="AH15" s="1221"/>
      <c r="AI15" s="1221"/>
      <c r="AJ15" s="1221"/>
      <c r="AK15" s="1221"/>
      <c r="AL15" s="1221"/>
      <c r="AM15" s="3596"/>
    </row>
    <row customHeight="1" ht="15">
      <c r="A16" s="1049"/>
      <c r="B16" s="1049"/>
      <c r="C16" s="802"/>
      <c r="D16" s="2447"/>
      <c r="E16" s="2447"/>
      <c r="F16" s="2447"/>
      <c r="G16" s="3187"/>
      <c r="H16" s="2729"/>
      <c r="I16" s="3188"/>
      <c r="J16" s="2733"/>
      <c r="K16" s="1047"/>
      <c r="L16" s="803"/>
      <c r="M16" s="1233" t="s">
        <v>129</v>
      </c>
      <c r="N16" s="1230"/>
      <c r="O16" s="1230"/>
      <c r="P16" s="1230"/>
      <c r="Q16" s="1230"/>
      <c r="R16" s="1230"/>
      <c r="S16" s="1230"/>
      <c r="T16" s="1230"/>
      <c r="U16" s="1231"/>
      <c r="V16" s="1230"/>
      <c r="W16" s="1230"/>
      <c r="X16" s="1221"/>
      <c r="Y16" s="1221"/>
      <c r="Z16" s="1221"/>
      <c r="AA16" s="1221"/>
      <c r="AB16" s="1221"/>
      <c r="AC16" s="1221"/>
      <c r="AD16" s="1221"/>
      <c r="AE16" s="1221"/>
      <c r="AF16" s="1221"/>
      <c r="AG16" s="1221"/>
      <c r="AH16" s="1221"/>
      <c r="AI16" s="1221"/>
      <c r="AJ16" s="1221"/>
      <c r="AK16" s="1221"/>
      <c r="AL16" s="1221"/>
      <c r="AM16" s="3596"/>
    </row>
    <row s="34794" customFormat="1" customHeight="1" ht="15.75">
      <c r="A17" s="919"/>
      <c r="B17" s="919"/>
      <c r="C17" s="802"/>
      <c r="D17" s="2734"/>
      <c r="E17" s="2737"/>
      <c r="F17" s="2733"/>
      <c r="G17" s="1686"/>
      <c r="H17" s="1687"/>
      <c r="I17" s="1206" t="s">
        <v>132</v>
      </c>
      <c r="J17" s="803"/>
      <c r="K17" s="803"/>
      <c r="L17" s="803"/>
      <c r="M17" s="1234"/>
      <c r="N17" s="1438"/>
      <c r="O17" s="2042"/>
      <c r="P17" s="2039"/>
      <c r="Q17" s="2039"/>
      <c r="R17" s="2039"/>
      <c r="S17" s="2042"/>
      <c r="T17" s="2042"/>
      <c r="U17" s="1892"/>
      <c r="V17" s="1892"/>
      <c r="W17" s="1892"/>
      <c r="X17" s="1892"/>
      <c r="Y17" s="1230"/>
      <c r="Z17" s="1230"/>
      <c r="AA17" s="1230"/>
      <c r="AB17" s="1230"/>
      <c r="AC17" s="1230"/>
      <c r="AD17" s="1230"/>
      <c r="AE17" s="1230"/>
      <c r="AF17" s="1230"/>
      <c r="AG17" s="1230"/>
      <c r="AH17" s="1230"/>
      <c r="AI17" s="1230"/>
      <c r="AJ17" s="1230"/>
      <c r="AK17" s="1230"/>
      <c r="AL17" s="1230"/>
      <c r="AM17" s="1232">
        <v>15</v>
      </c>
    </row>
    <row customHeight="1" ht="15">
      <c r="A18" s="1049"/>
      <c r="B18" s="1049"/>
      <c r="C18" s="2354" t="s">
        <v>103</v>
      </c>
      <c r="D18" s="2734" t="s">
        <v>102</v>
      </c>
      <c r="E18" s="2735" t="str">
        <f>INDEX(VD_NAME_LIST,MATCH("4190064",VD_ID_LIST,0))</f>
        <v>Производство тепловой энергии. Некомбинированная выработка</v>
      </c>
      <c r="F18" s="2733" t="s">
        <v>66</v>
      </c>
      <c r="G18" s="3183"/>
      <c r="H18" s="2753">
        <v>1</v>
      </c>
      <c r="I18" s="3604" t="str">
        <f>IF($U$18="","",INDEX(TERRITORY_MR_LIST,MATCH($U$18,TERRITORY_LIST_ID,0)))</f>
        <v>Территория 2</v>
      </c>
      <c r="J18" s="2733" t="s">
        <v>66</v>
      </c>
      <c r="K18" s="1458"/>
      <c r="L18" s="2408" t="s">
        <v>118</v>
      </c>
      <c r="M18" s="3581" t="s">
        <v>133</v>
      </c>
      <c r="N18" s="1230"/>
      <c r="O18" s="1230" t="s">
        <v>134</v>
      </c>
      <c r="P18" s="1230" t="str">
        <f>$E$18</f>
        <v>Производство тепловой энергии. Некомбинированная выработка</v>
      </c>
      <c r="Q18" s="1230" t="str">
        <f>IF($F$18="нет","без дифференциации",$I$18)</f>
        <v>Территория 2</v>
      </c>
      <c r="R18" s="1230" t="str">
        <f>IF($J$18="нет","без дифференциации",$M$18)</f>
        <v>Котельная "Агромех" (п.г.т. Новорайчихинск)</v>
      </c>
      <c r="S18" s="1230"/>
      <c r="T18" s="1230"/>
      <c r="U18" s="1231" t="s">
        <v>104</v>
      </c>
      <c r="V18" s="1230" t="s">
        <v>135</v>
      </c>
      <c r="W18" s="1230"/>
      <c r="X18" s="1221"/>
      <c r="Y18" s="1221" t="s">
        <v>128</v>
      </c>
      <c r="Z18" s="1221">
        <v>1705000</v>
      </c>
      <c r="AA18" s="1221"/>
      <c r="AB18" s="1221"/>
      <c r="AC18" s="1221"/>
      <c r="AD18" s="1221"/>
      <c r="AE18" s="1221"/>
      <c r="AF18" s="1221"/>
      <c r="AG18" s="1221"/>
      <c r="AH18" s="1221"/>
      <c r="AI18" s="1221"/>
      <c r="AJ18" s="1221"/>
      <c r="AK18" s="1221"/>
      <c r="AL18" s="1221"/>
      <c r="AM18" s="3596"/>
    </row>
    <row customHeight="1" ht="15">
      <c r="A19" s="1049"/>
      <c r="B19" s="1049"/>
      <c r="C19" s="802"/>
      <c r="D19" s="2734"/>
      <c r="E19" s="2736"/>
      <c r="F19" s="2733"/>
      <c r="G19" s="3184"/>
      <c r="H19" s="2753"/>
      <c r="I19" s="3606" t="str">
        <f>IF($U$18="","",INDEX(TERRITORY_MR_LIST,MATCH($U$18,TERRITORY_LIST_ID,0)))</f>
        <v>Территория 2</v>
      </c>
      <c r="J19" s="2733"/>
      <c r="K19" s="1047"/>
      <c r="L19" s="803"/>
      <c r="M19" s="1233" t="s">
        <v>129</v>
      </c>
      <c r="N19" s="1230"/>
      <c r="O19" s="1230"/>
      <c r="P19" s="1230"/>
      <c r="Q19" s="1230"/>
      <c r="R19" s="1230"/>
      <c r="S19" s="1230"/>
      <c r="T19" s="1230"/>
      <c r="U19" s="1231"/>
      <c r="V19" s="1230"/>
      <c r="W19" s="1230"/>
      <c r="X19" s="1221"/>
      <c r="Y19" s="1221"/>
      <c r="Z19" s="1221"/>
      <c r="AA19" s="1221"/>
      <c r="AB19" s="1221"/>
      <c r="AC19" s="1221"/>
      <c r="AD19" s="1221"/>
      <c r="AE19" s="1221"/>
      <c r="AF19" s="1221"/>
      <c r="AG19" s="1221"/>
      <c r="AH19" s="1221"/>
      <c r="AI19" s="1221"/>
      <c r="AJ19" s="1221"/>
      <c r="AK19" s="1221"/>
      <c r="AL19" s="1221"/>
      <c r="AM19" s="3596"/>
    </row>
    <row customHeight="1" ht="15">
      <c r="A20" s="1049"/>
      <c r="B20" s="1049"/>
      <c r="C20" s="802"/>
      <c r="D20" s="2447"/>
      <c r="E20" s="2447"/>
      <c r="F20" s="2447"/>
      <c r="G20" s="3187" t="s">
        <v>103</v>
      </c>
      <c r="H20" s="2729" t="s">
        <v>102</v>
      </c>
      <c r="I20" s="3188" t="str">
        <f>IF(U20="","",INDEX(TERRITORY_MR_LIST,MATCH(U20,TERRITORY_LIST_ID,0)))</f>
        <v>Территория 3</v>
      </c>
      <c r="J20" s="2733" t="s">
        <v>66</v>
      </c>
      <c r="K20" s="1458"/>
      <c r="L20" s="2408" t="s">
        <v>118</v>
      </c>
      <c r="M20" s="3581" t="s">
        <v>136</v>
      </c>
      <c r="N20" s="1230"/>
      <c r="O20" s="1230" t="s">
        <v>137</v>
      </c>
      <c r="P20" s="1230" t="str">
        <f>$E$18</f>
        <v>Производство тепловой энергии. Некомбинированная выработка</v>
      </c>
      <c r="Q20" s="1230" t="str">
        <f>IF($F$20="нет","без дифференциации",$I$20)</f>
        <v>Территория 3</v>
      </c>
      <c r="R20" s="1230" t="str">
        <f>IF($J$20="нет","без дифференциации",$M$20)</f>
        <v>Котельная "Центральная" (с. Чигири ) </v>
      </c>
      <c r="S20" s="1230"/>
      <c r="T20" s="1230"/>
      <c r="U20" s="1231" t="s">
        <v>108</v>
      </c>
      <c r="V20" s="1230"/>
      <c r="W20" s="1230"/>
      <c r="X20" s="1221"/>
      <c r="Y20" s="1221" t="s">
        <v>128</v>
      </c>
      <c r="Z20" s="1221">
        <v>1705000</v>
      </c>
      <c r="AA20" s="1221"/>
      <c r="AB20" s="1221"/>
      <c r="AC20" s="1221"/>
      <c r="AD20" s="1221"/>
      <c r="AE20" s="1221"/>
      <c r="AF20" s="1221"/>
      <c r="AG20" s="1221"/>
      <c r="AH20" s="1221"/>
      <c r="AI20" s="1221"/>
      <c r="AJ20" s="1221"/>
      <c r="AK20" s="1221"/>
      <c r="AL20" s="1221"/>
      <c r="AM20" s="3596"/>
    </row>
    <row customHeight="1" ht="15">
      <c r="A21" s="1049"/>
      <c r="B21" s="1049"/>
      <c r="C21" s="802"/>
      <c r="D21" s="2447"/>
      <c r="E21" s="2447"/>
      <c r="F21" s="2447"/>
      <c r="G21" s="3187"/>
      <c r="H21" s="2729"/>
      <c r="I21" s="3188"/>
      <c r="J21" s="2733"/>
      <c r="K21" s="1047"/>
      <c r="L21" s="803"/>
      <c r="M21" s="1233" t="s">
        <v>129</v>
      </c>
      <c r="N21" s="1230"/>
      <c r="O21" s="1230"/>
      <c r="P21" s="1230"/>
      <c r="Q21" s="1230"/>
      <c r="R21" s="1230"/>
      <c r="S21" s="1230"/>
      <c r="T21" s="1230"/>
      <c r="U21" s="1231"/>
      <c r="V21" s="1230"/>
      <c r="W21" s="1230"/>
      <c r="X21" s="1221"/>
      <c r="Y21" s="1221"/>
      <c r="Z21" s="1221"/>
      <c r="AA21" s="1221"/>
      <c r="AB21" s="1221"/>
      <c r="AC21" s="1221"/>
      <c r="AD21" s="1221"/>
      <c r="AE21" s="1221"/>
      <c r="AF21" s="1221"/>
      <c r="AG21" s="1221"/>
      <c r="AH21" s="1221"/>
      <c r="AI21" s="1221"/>
      <c r="AJ21" s="1221"/>
      <c r="AK21" s="1221"/>
      <c r="AL21" s="1221"/>
      <c r="AM21" s="3596"/>
    </row>
    <row customHeight="1" ht="15">
      <c r="A22" s="1049"/>
      <c r="B22" s="1049"/>
      <c r="C22" s="802"/>
      <c r="D22" s="2734"/>
      <c r="E22" s="2737"/>
      <c r="F22" s="2733"/>
      <c r="G22" s="1047"/>
      <c r="H22" s="803"/>
      <c r="I22" s="1206" t="s">
        <v>132</v>
      </c>
      <c r="J22" s="803"/>
      <c r="K22" s="803"/>
      <c r="L22" s="803"/>
      <c r="M22" s="1234"/>
      <c r="N22" s="1230"/>
      <c r="O22" s="1230"/>
      <c r="P22" s="1230"/>
      <c r="Q22" s="1230"/>
      <c r="R22" s="1230"/>
      <c r="S22" s="1230"/>
      <c r="T22" s="1230"/>
      <c r="U22" s="1231"/>
      <c r="V22" s="1230"/>
      <c r="W22" s="1230"/>
      <c r="X22" s="1221"/>
      <c r="Y22" s="1221"/>
      <c r="Z22" s="1221"/>
      <c r="AA22" s="1221"/>
      <c r="AB22" s="1221"/>
      <c r="AC22" s="1221"/>
      <c r="AD22" s="1221"/>
      <c r="AE22" s="1221"/>
      <c r="AF22" s="1221"/>
      <c r="AG22" s="1221"/>
      <c r="AH22" s="1221"/>
      <c r="AI22" s="1221"/>
      <c r="AJ22" s="1221"/>
      <c r="AK22" s="1221"/>
      <c r="AL22" s="1221"/>
      <c r="AM22" s="3596"/>
    </row>
    <row customHeight="1" ht="15">
      <c r="A23" s="1049"/>
      <c r="B23" s="1049"/>
      <c r="C23" s="2354" t="s">
        <v>103</v>
      </c>
      <c r="D23" s="2734" t="s">
        <v>90</v>
      </c>
      <c r="E23" s="2735"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23" s="2733" t="s">
        <v>66</v>
      </c>
      <c r="G23" s="3183"/>
      <c r="H23" s="2753">
        <v>1</v>
      </c>
      <c r="I23" s="3604" t="str">
        <f>IF($U$23="","",INDEX(TERRITORY_MR_LIST,MATCH($U$23,TERRITORY_LIST_ID,0)))</f>
        <v>Территория 3</v>
      </c>
      <c r="J23" s="2733" t="s">
        <v>66</v>
      </c>
      <c r="K23" s="1458"/>
      <c r="L23" s="2408" t="s">
        <v>118</v>
      </c>
      <c r="M23" s="3581" t="s">
        <v>138</v>
      </c>
      <c r="N23" s="1230"/>
      <c r="O23" s="1230" t="s">
        <v>139</v>
      </c>
      <c r="P23" s="1230" t="str">
        <f>$E$23</f>
        <v>Производство тепловой энергии. Комбинированная выработка с уст. мощностью производства электрической энергии 25 МВт и более</v>
      </c>
      <c r="Q23" s="1230" t="str">
        <f>IF($F$23="нет","без дифференциации",$I$23)</f>
        <v>Территория 3</v>
      </c>
      <c r="R23" s="1230" t="str">
        <f>IF($J$23="нет","без дифференциации",$M$23)</f>
        <v>Благовещенская ТЭЦ (с. Чигири)</v>
      </c>
      <c r="S23" s="1230"/>
      <c r="T23" s="1230"/>
      <c r="U23" s="1231" t="s">
        <v>108</v>
      </c>
      <c r="V23" s="1230" t="s">
        <v>140</v>
      </c>
      <c r="W23" s="1230"/>
      <c r="X23" s="1221"/>
      <c r="Y23" s="1221" t="s">
        <v>128</v>
      </c>
      <c r="Z23" s="1221">
        <v>1705000</v>
      </c>
      <c r="AA23" s="1221"/>
      <c r="AB23" s="1221"/>
      <c r="AC23" s="1221"/>
      <c r="AD23" s="1221"/>
      <c r="AE23" s="1221"/>
      <c r="AF23" s="1221"/>
      <c r="AG23" s="1221"/>
      <c r="AH23" s="1221"/>
      <c r="AI23" s="1221"/>
      <c r="AJ23" s="1221"/>
      <c r="AK23" s="1221"/>
      <c r="AL23" s="1221"/>
      <c r="AM23" s="3596"/>
    </row>
    <row customHeight="1" ht="15">
      <c r="A24" s="1049"/>
      <c r="B24" s="1049"/>
      <c r="C24" s="802"/>
      <c r="D24" s="2734"/>
      <c r="E24" s="2736"/>
      <c r="F24" s="2733"/>
      <c r="G24" s="3184"/>
      <c r="H24" s="2753"/>
      <c r="I24" s="3606" t="str">
        <f>IF($U$23="","",INDEX(TERRITORY_MR_LIST,MATCH($U$23,TERRITORY_LIST_ID,0)))</f>
        <v>Территория 3</v>
      </c>
      <c r="J24" s="2733"/>
      <c r="K24" s="1047"/>
      <c r="L24" s="803"/>
      <c r="M24" s="1233" t="s">
        <v>129</v>
      </c>
      <c r="N24" s="1230"/>
      <c r="O24" s="1230"/>
      <c r="P24" s="1230"/>
      <c r="Q24" s="1230"/>
      <c r="R24" s="1230"/>
      <c r="S24" s="1230"/>
      <c r="T24" s="1230"/>
      <c r="U24" s="1231"/>
      <c r="V24" s="1230"/>
      <c r="W24" s="1230"/>
      <c r="X24" s="1221"/>
      <c r="Y24" s="1221"/>
      <c r="Z24" s="1221"/>
      <c r="AA24" s="1221"/>
      <c r="AB24" s="1221"/>
      <c r="AC24" s="1221"/>
      <c r="AD24" s="1221"/>
      <c r="AE24" s="1221"/>
      <c r="AF24" s="1221"/>
      <c r="AG24" s="1221"/>
      <c r="AH24" s="1221"/>
      <c r="AI24" s="1221"/>
      <c r="AJ24" s="1221"/>
      <c r="AK24" s="1221"/>
      <c r="AL24" s="1221"/>
      <c r="AM24" s="3596"/>
    </row>
    <row customHeight="1" ht="15">
      <c r="A25" s="1049"/>
      <c r="B25" s="1049"/>
      <c r="C25" s="802"/>
      <c r="D25" s="2734"/>
      <c r="E25" s="2737"/>
      <c r="F25" s="2733"/>
      <c r="G25" s="1047"/>
      <c r="H25" s="803"/>
      <c r="I25" s="1206" t="s">
        <v>132</v>
      </c>
      <c r="J25" s="803"/>
      <c r="K25" s="803"/>
      <c r="L25" s="803"/>
      <c r="M25" s="1234"/>
      <c r="N25" s="1230"/>
      <c r="O25" s="1230"/>
      <c r="P25" s="1230"/>
      <c r="Q25" s="1230"/>
      <c r="R25" s="1230"/>
      <c r="S25" s="1230"/>
      <c r="T25" s="1230"/>
      <c r="U25" s="1231"/>
      <c r="V25" s="1230"/>
      <c r="W25" s="1230"/>
      <c r="X25" s="1221"/>
      <c r="Y25" s="1221"/>
      <c r="Z25" s="1221"/>
      <c r="AA25" s="1221"/>
      <c r="AB25" s="1221"/>
      <c r="AC25" s="1221"/>
      <c r="AD25" s="1221"/>
      <c r="AE25" s="1221"/>
      <c r="AF25" s="1221"/>
      <c r="AG25" s="1221"/>
      <c r="AH25" s="1221"/>
      <c r="AI25" s="1221"/>
      <c r="AJ25" s="1221"/>
      <c r="AK25" s="1221"/>
      <c r="AL25" s="1221"/>
      <c r="AM25" s="3596"/>
    </row>
    <row customHeight="1" ht="15.75">
      <c r="A26" s="1235"/>
      <c r="B26" s="761"/>
      <c r="C26" s="1432"/>
      <c r="D26" s="1047"/>
      <c r="E26" s="1197" t="s">
        <v>141</v>
      </c>
      <c r="F26" s="803"/>
      <c r="G26" s="803"/>
      <c r="H26" s="803"/>
      <c r="I26" s="803"/>
      <c r="J26" s="803"/>
      <c r="K26" s="803" t="s">
        <v>22</v>
      </c>
      <c r="L26" s="803"/>
      <c r="M26" s="1234"/>
      <c r="N26" s="2253"/>
      <c r="AM26" s="1209">
        <v>15</v>
      </c>
    </row>
    <row customHeight="1" ht="11.25" hidden="1">
      <c r="A27" s="1209" t="s">
        <v>82</v>
      </c>
      <c r="B27" s="1209">
        <v>0</v>
      </c>
      <c r="C27" s="1209">
        <v>3</v>
      </c>
      <c r="D27" s="1209"/>
      <c r="E27" s="1209">
        <v>44</v>
      </c>
      <c r="F27" s="1209">
        <v>6</v>
      </c>
      <c r="G27" s="1209">
        <v>4</v>
      </c>
      <c r="H27" s="1209">
        <v>5</v>
      </c>
      <c r="I27" s="1209">
        <v>52</v>
      </c>
      <c r="J27" s="1209">
        <v>6</v>
      </c>
      <c r="K27" s="1209">
        <v>3</v>
      </c>
      <c r="L27" s="1209">
        <v>6</v>
      </c>
      <c r="M27" s="1209">
        <v>56</v>
      </c>
      <c r="N27" s="1210">
        <v>8</v>
      </c>
      <c r="O27" s="2039">
        <v>0</v>
      </c>
      <c r="P27" s="2039">
        <v>0</v>
      </c>
      <c r="Q27" s="2039">
        <v>0</v>
      </c>
      <c r="R27" s="2039">
        <v>0</v>
      </c>
      <c r="S27" s="2039">
        <v>0</v>
      </c>
      <c r="T27" s="2039">
        <v>0</v>
      </c>
      <c r="U27" s="1889">
        <v>0</v>
      </c>
      <c r="V27" s="1889">
        <v>0</v>
      </c>
      <c r="W27" s="1889">
        <v>0</v>
      </c>
      <c r="X27" s="1889">
        <v>0</v>
      </c>
      <c r="Y27" s="1210">
        <v>0</v>
      </c>
      <c r="Z27" s="1210">
        <v>0</v>
      </c>
      <c r="AA27" s="1210">
        <v>0</v>
      </c>
      <c r="AB27" s="1210">
        <v>0</v>
      </c>
      <c r="AC27" s="1210">
        <v>0</v>
      </c>
      <c r="AD27" s="1210">
        <v>0</v>
      </c>
      <c r="AE27" s="1210">
        <v>0</v>
      </c>
      <c r="AF27" s="1210">
        <v>0</v>
      </c>
      <c r="AG27" s="1210">
        <v>0</v>
      </c>
      <c r="AH27" s="1210">
        <v>0</v>
      </c>
      <c r="AI27" s="1210">
        <v>0</v>
      </c>
      <c r="AJ27" s="1210">
        <v>0</v>
      </c>
      <c r="AK27" s="1210">
        <v>0</v>
      </c>
      <c r="AL27" s="1210">
        <v>8</v>
      </c>
      <c r="AM27" s="1209">
        <v>11</v>
      </c>
    </row>
  </sheetData>
  <sheetProtection sheet="1" formatColumns="0" formatRows="0" autoFilter="0" sort="1" insertRows="1" insertColumns="1" deleteRows="1" deleteColumns="1"/>
  <mergeCells count="43">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G15:G16"/>
    <mergeCell ref="H15:H16"/>
    <mergeCell ref="I15:I16"/>
    <mergeCell ref="J15:J16"/>
    <mergeCell ref="D18:D22"/>
    <mergeCell ref="E18:E22"/>
    <mergeCell ref="F18:F22"/>
    <mergeCell ref="G18:G19"/>
    <mergeCell ref="H18:H19"/>
    <mergeCell ref="I18:I19"/>
    <mergeCell ref="J18:J19"/>
    <mergeCell ref="C18:C22"/>
    <mergeCell ref="D23:D25"/>
    <mergeCell ref="E23:E25"/>
    <mergeCell ref="F23:F25"/>
    <mergeCell ref="G23:G24"/>
    <mergeCell ref="H23:H24"/>
    <mergeCell ref="I23:I24"/>
    <mergeCell ref="J23:J24"/>
    <mergeCell ref="C23:C25"/>
    <mergeCell ref="G20:G21"/>
    <mergeCell ref="H20:H21"/>
    <mergeCell ref="I20:I21"/>
    <mergeCell ref="J20:J21"/>
  </mergeCells>
  <dataValidations count="5">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0">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85FA85-3931-A3BA-5D27-61FBBCF94AC3}" mc:Ignorable="x14ac xr xr2 xr3">
  <sheetPr>
    <tabColor rgb="FFE26B0A"/>
  </sheetPr>
  <dimension ref="A1:AD502"/>
  <sheetViews>
    <sheetView showGridLines="0" zoomScale="90" workbookViewId="0">
      <pane xSplit="8" ySplit="31" topLeftCell="I32" activePane="bottomRight" state="frozen"/>
      <selection pane="bottomLeft" activeCell="A32" sqref="A32"/>
      <selection pane="topRight" activeCell="I1" sqref="I1"/>
      <selection pane="bottomRight" activeCell="L48" sqref="L48"/>
    </sheetView>
  </sheetViews>
  <sheetFormatPr defaultColWidth="10.57421875" customHeight="1" defaultRowHeight="15"/>
  <cols>
    <col min="1" max="1" style="34544" width="9.140625" hidden="1" customWidth="1"/>
    <col min="2" max="2" style="34580" width="9.140625" hidden="1" customWidth="1"/>
    <col min="3" max="3" style="36811" width="4.00390625" customWidth="1"/>
    <col min="4" max="4" style="34580" width="6.00390625" customWidth="1"/>
    <col min="5" max="5" style="34580" width="36.00390625" customWidth="1"/>
    <col min="6" max="6" style="34580" width="9.00390625" customWidth="1"/>
    <col min="7" max="7" style="34580" width="25.7109375" hidden="1" customWidth="1"/>
    <col min="8" max="8" style="34580" width="33.7109375" hidden="1" customWidth="1"/>
    <col min="9" max="9" style="34580" width="25.7109375" customWidth="1"/>
    <col min="10" max="10" style="34580" width="33.00390625" customWidth="1"/>
    <col min="11" max="11" style="35917" width="25.7109375" customWidth="1"/>
    <col min="12" max="12" style="35917" width="33.7109375" customWidth="1"/>
    <col min="13" max="13" style="35917" width="25.7109375" customWidth="1"/>
    <col min="14" max="14" style="35917" width="33.7109375" customWidth="1"/>
    <col min="15" max="15" style="35917" width="25.7109375" customWidth="1"/>
    <col min="16" max="16" style="35917" width="33.7109375" customWidth="1"/>
    <col min="17" max="17" style="35917" width="25.7109375" customWidth="1"/>
    <col min="18" max="18" style="35917" width="33.7109375" customWidth="1"/>
    <col min="19" max="19" style="34657" width="93.00390625" customWidth="1"/>
    <col min="20" max="28" style="34580" width="10.00390625" customWidth="1"/>
    <col min="29" max="29" style="36812" width="10.00390625" customWidth="1"/>
    <col min="30" max="30" style="34580" width="10.57421875" hidden="1"/>
  </cols>
  <sheetData>
    <row s="34657" customFormat="1" customHeight="1" ht="22.5" hidden="1">
      <c r="C1" s="1298"/>
      <c r="G1" s="1043">
        <v>4</v>
      </c>
      <c r="I1" s="1043">
        <v>4</v>
      </c>
      <c r="K1" s="4490">
        <v>4</v>
      </c>
      <c r="L1" s="4490"/>
      <c r="M1" s="4490">
        <v>4</v>
      </c>
      <c r="N1" s="4490"/>
      <c r="O1" s="4490">
        <v>4</v>
      </c>
      <c r="P1" s="4490"/>
      <c r="Q1" s="4490">
        <v>4</v>
      </c>
      <c r="R1" s="4490"/>
      <c r="AC1" s="1046"/>
      <c r="AD1" s="1043" t="s">
        <v>14</v>
      </c>
    </row>
    <row s="34657" customFormat="1" customHeight="1" ht="15" hidden="1">
      <c r="C2" s="1298"/>
      <c r="K2" s="4490"/>
      <c r="L2" s="4490"/>
      <c r="M2" s="4490"/>
      <c r="N2" s="4490"/>
      <c r="O2" s="4490"/>
      <c r="P2" s="4490"/>
      <c r="Q2" s="4490"/>
      <c r="R2" s="4490"/>
      <c r="AC2" s="1046"/>
      <c r="AD2" s="1043">
        <v>0</v>
      </c>
    </row>
    <row customHeight="1" ht="22.5" hidden="1">
      <c r="A3" s="1131"/>
      <c r="B3" s="3023"/>
      <c r="C3" s="3024" t="s">
        <v>103</v>
      </c>
      <c r="D3" s="1315" t="str">
        <f>B3&amp;".1"</f>
        <v>.1</v>
      </c>
      <c r="E3" s="1316" t="s">
        <v>957</v>
      </c>
      <c r="F3" s="1317" t="s">
        <v>324</v>
      </c>
      <c r="G3" s="1312"/>
      <c r="H3" s="1027"/>
      <c r="I3" s="1312"/>
      <c r="J3" s="1027"/>
      <c r="K3" s="4888"/>
      <c r="L3" s="4637"/>
      <c r="M3" s="4888"/>
      <c r="N3" s="4637"/>
      <c r="O3" s="4888"/>
      <c r="P3" s="4637"/>
      <c r="Q3" s="4888"/>
      <c r="R3" s="4637"/>
      <c r="S3" s="915" t="s">
        <v>958</v>
      </c>
      <c r="AD3" s="1131">
        <v>0</v>
      </c>
    </row>
    <row customHeight="1" ht="15" hidden="1">
      <c r="A4" s="1131"/>
      <c r="B4" s="3023"/>
      <c r="C4" s="3024"/>
      <c r="D4" s="1315" t="str">
        <f>B3&amp;".2"</f>
        <v>.2</v>
      </c>
      <c r="E4" s="1316" t="s">
        <v>959</v>
      </c>
      <c r="F4" s="1317" t="s">
        <v>324</v>
      </c>
      <c r="G4" s="2364" t="s">
        <v>22</v>
      </c>
      <c r="H4" s="1027"/>
      <c r="I4" s="2364" t="s">
        <v>22</v>
      </c>
      <c r="J4" s="1027"/>
      <c r="K4" s="4940" t="s">
        <v>22</v>
      </c>
      <c r="L4" s="4637"/>
      <c r="M4" s="4940" t="s">
        <v>22</v>
      </c>
      <c r="N4" s="4637"/>
      <c r="O4" s="4940" t="s">
        <v>22</v>
      </c>
      <c r="P4" s="4637"/>
      <c r="Q4" s="4940" t="s">
        <v>22</v>
      </c>
      <c r="R4" s="4637"/>
      <c r="S4" s="915" t="s">
        <v>960</v>
      </c>
      <c r="AD4" s="1131">
        <v>0</v>
      </c>
    </row>
    <row s="34657" customFormat="1" customHeight="1" ht="15" hidden="1">
      <c r="C5" s="1298"/>
      <c r="K5" s="4490"/>
      <c r="L5" s="4490"/>
      <c r="M5" s="4490"/>
      <c r="N5" s="4490"/>
      <c r="O5" s="4490"/>
      <c r="P5" s="4490"/>
      <c r="Q5" s="4490"/>
      <c r="R5" s="4490"/>
      <c r="AC5" s="1046"/>
      <c r="AD5" s="1043">
        <v>0</v>
      </c>
    </row>
    <row customHeight="1" ht="22.5" hidden="1">
      <c r="A6" s="1131"/>
      <c r="B6" s="3023"/>
      <c r="C6" s="3024" t="s">
        <v>103</v>
      </c>
      <c r="D6" s="1315" t="str">
        <f>B6&amp;".1"</f>
        <v>.1</v>
      </c>
      <c r="E6" s="1316" t="s">
        <v>961</v>
      </c>
      <c r="F6" s="1317" t="s">
        <v>324</v>
      </c>
      <c r="G6" s="1312"/>
      <c r="H6" s="1027"/>
      <c r="I6" s="1312"/>
      <c r="J6" s="1027"/>
      <c r="K6" s="4888"/>
      <c r="L6" s="4637"/>
      <c r="M6" s="4888"/>
      <c r="N6" s="4637"/>
      <c r="O6" s="4888"/>
      <c r="P6" s="4637"/>
      <c r="Q6" s="4888"/>
      <c r="R6" s="4637"/>
      <c r="S6" s="915" t="s">
        <v>962</v>
      </c>
      <c r="AD6" s="1131">
        <v>0</v>
      </c>
    </row>
    <row customHeight="1" ht="15" hidden="1">
      <c r="A7" s="1131"/>
      <c r="B7" s="3023"/>
      <c r="C7" s="3024"/>
      <c r="D7" s="1315" t="str">
        <f>B6&amp;".2"</f>
        <v>.2</v>
      </c>
      <c r="E7" s="1316" t="s">
        <v>959</v>
      </c>
      <c r="F7" s="1317" t="s">
        <v>324</v>
      </c>
      <c r="G7" s="2364" t="s">
        <v>22</v>
      </c>
      <c r="H7" s="1027"/>
      <c r="I7" s="2364" t="s">
        <v>22</v>
      </c>
      <c r="J7" s="1027"/>
      <c r="K7" s="4940" t="s">
        <v>22</v>
      </c>
      <c r="L7" s="4637"/>
      <c r="M7" s="4940" t="s">
        <v>22</v>
      </c>
      <c r="N7" s="4637"/>
      <c r="O7" s="4940" t="s">
        <v>22</v>
      </c>
      <c r="P7" s="4637"/>
      <c r="Q7" s="4940" t="s">
        <v>22</v>
      </c>
      <c r="R7" s="4637"/>
      <c r="S7" s="915" t="s">
        <v>960</v>
      </c>
      <c r="AD7" s="1131">
        <v>0</v>
      </c>
    </row>
    <row s="34657" customFormat="1" customHeight="1" ht="15" hidden="1">
      <c r="C8" s="1298"/>
      <c r="K8" s="4490"/>
      <c r="L8" s="4490"/>
      <c r="M8" s="4490"/>
      <c r="N8" s="4490"/>
      <c r="O8" s="4490"/>
      <c r="P8" s="4490"/>
      <c r="Q8" s="4490"/>
      <c r="R8" s="4490"/>
      <c r="AC8" s="1046"/>
      <c r="AD8" s="1043">
        <v>0</v>
      </c>
    </row>
    <row customHeight="1" ht="22.5" hidden="1">
      <c r="A9" s="1131"/>
      <c r="B9" s="3023"/>
      <c r="C9" s="3024" t="s">
        <v>103</v>
      </c>
      <c r="D9" s="1315" t="str">
        <f>B9&amp;".1"</f>
        <v>.1</v>
      </c>
      <c r="E9" s="1316" t="s">
        <v>963</v>
      </c>
      <c r="F9" s="1317" t="s">
        <v>324</v>
      </c>
      <c r="G9" s="1323" t="s">
        <v>22</v>
      </c>
      <c r="H9" s="1027" t="s">
        <v>22</v>
      </c>
      <c r="I9" s="1323" t="s">
        <v>22</v>
      </c>
      <c r="J9" s="1027" t="s">
        <v>22</v>
      </c>
      <c r="K9" s="4942" t="s">
        <v>22</v>
      </c>
      <c r="L9" s="4637" t="s">
        <v>22</v>
      </c>
      <c r="M9" s="4942" t="s">
        <v>22</v>
      </c>
      <c r="N9" s="4637" t="s">
        <v>22</v>
      </c>
      <c r="O9" s="29588" t="s">
        <v>22</v>
      </c>
      <c r="P9" s="29589" t="s">
        <v>22</v>
      </c>
      <c r="Q9" s="4942" t="s">
        <v>22</v>
      </c>
      <c r="R9" s="4637" t="s">
        <v>22</v>
      </c>
      <c r="S9" s="915"/>
      <c r="AD9" s="1131">
        <v>0</v>
      </c>
    </row>
    <row customHeight="1" ht="15" hidden="1">
      <c r="A10" s="1131"/>
      <c r="B10" s="3023"/>
      <c r="C10" s="3024"/>
      <c r="D10" s="1315" t="str">
        <f>B9&amp;".2"</f>
        <v>.2</v>
      </c>
      <c r="E10" s="1316" t="s">
        <v>964</v>
      </c>
      <c r="F10" s="1317" t="s">
        <v>324</v>
      </c>
      <c r="G10" s="2358" t="s">
        <v>22</v>
      </c>
      <c r="H10" s="1027" t="s">
        <v>22</v>
      </c>
      <c r="I10" s="2358" t="s">
        <v>22</v>
      </c>
      <c r="J10" s="1027" t="s">
        <v>22</v>
      </c>
      <c r="K10" s="4943" t="s">
        <v>22</v>
      </c>
      <c r="L10" s="4637" t="s">
        <v>22</v>
      </c>
      <c r="M10" s="4943" t="s">
        <v>22</v>
      </c>
      <c r="N10" s="4637" t="s">
        <v>22</v>
      </c>
      <c r="O10" s="29591" t="s">
        <v>22</v>
      </c>
      <c r="P10" s="29589" t="s">
        <v>22</v>
      </c>
      <c r="Q10" s="4943" t="s">
        <v>22</v>
      </c>
      <c r="R10" s="4637" t="s">
        <v>22</v>
      </c>
      <c r="S10" s="915" t="s">
        <v>965</v>
      </c>
      <c r="AD10" s="1131">
        <v>0</v>
      </c>
    </row>
    <row customHeight="1" ht="15" hidden="1">
      <c r="A11" s="1131"/>
      <c r="B11" s="3023"/>
      <c r="C11" s="3024"/>
      <c r="D11" s="1315" t="str">
        <f>B9&amp;".3"</f>
        <v>.3</v>
      </c>
      <c r="E11" s="1316" t="s">
        <v>966</v>
      </c>
      <c r="F11" s="1317" t="s">
        <v>324</v>
      </c>
      <c r="G11" s="2358" t="s">
        <v>22</v>
      </c>
      <c r="H11" s="1027" t="s">
        <v>22</v>
      </c>
      <c r="I11" s="2358" t="s">
        <v>22</v>
      </c>
      <c r="J11" s="1027" t="s">
        <v>22</v>
      </c>
      <c r="K11" s="4943" t="s">
        <v>22</v>
      </c>
      <c r="L11" s="4637" t="s">
        <v>22</v>
      </c>
      <c r="M11" s="4943" t="s">
        <v>22</v>
      </c>
      <c r="N11" s="4637" t="s">
        <v>22</v>
      </c>
      <c r="O11" s="29591" t="s">
        <v>22</v>
      </c>
      <c r="P11" s="29589" t="s">
        <v>22</v>
      </c>
      <c r="Q11" s="4943" t="s">
        <v>22</v>
      </c>
      <c r="R11" s="4637" t="s">
        <v>22</v>
      </c>
      <c r="S11" s="915" t="s">
        <v>967</v>
      </c>
      <c r="AD11" s="1131">
        <v>0</v>
      </c>
    </row>
    <row s="34657" customFormat="1" customHeight="1" ht="15" hidden="1">
      <c r="C12" s="1298"/>
      <c r="K12" s="4490"/>
      <c r="L12" s="4490"/>
      <c r="M12" s="4490"/>
      <c r="N12" s="4490"/>
      <c r="O12" s="4490"/>
      <c r="P12" s="4490"/>
      <c r="Q12" s="4490"/>
      <c r="R12" s="4490"/>
      <c r="AC12" s="1046"/>
      <c r="AD12" s="1043">
        <v>0</v>
      </c>
    </row>
    <row customHeight="1" ht="33.75" hidden="1">
      <c r="A13" s="1131"/>
      <c r="B13" s="3023"/>
      <c r="C13" s="3024" t="s">
        <v>103</v>
      </c>
      <c r="D13" s="1315" t="str">
        <f>B13&amp;".1"</f>
        <v>.1</v>
      </c>
      <c r="E13" s="1316" t="s">
        <v>968</v>
      </c>
      <c r="F13" s="1317" t="s">
        <v>324</v>
      </c>
      <c r="G13" s="1323" t="s">
        <v>22</v>
      </c>
      <c r="H13" s="1027" t="s">
        <v>22</v>
      </c>
      <c r="I13" s="29592" t="s">
        <v>22</v>
      </c>
      <c r="J13" s="29593" t="s">
        <v>22</v>
      </c>
      <c r="K13" s="29588" t="s">
        <v>22</v>
      </c>
      <c r="L13" s="29589" t="s">
        <v>22</v>
      </c>
      <c r="M13" s="29588" t="s">
        <v>22</v>
      </c>
      <c r="N13" s="29589" t="s">
        <v>22</v>
      </c>
      <c r="O13" s="29588" t="s">
        <v>22</v>
      </c>
      <c r="P13" s="29589" t="s">
        <v>22</v>
      </c>
      <c r="Q13" s="29588" t="s">
        <v>22</v>
      </c>
      <c r="R13" s="29589" t="s">
        <v>22</v>
      </c>
      <c r="S13" s="915" t="s">
        <v>969</v>
      </c>
      <c r="AD13" s="1131">
        <v>0</v>
      </c>
    </row>
    <row customHeight="1" ht="15" hidden="1">
      <c r="B14" s="3023"/>
      <c r="C14" s="3024"/>
      <c r="D14" s="1315" t="str">
        <f>B13&amp;".2"</f>
        <v>.2</v>
      </c>
      <c r="E14" s="1316" t="s">
        <v>970</v>
      </c>
      <c r="F14" s="1317" t="s">
        <v>324</v>
      </c>
      <c r="G14" s="2358" t="s">
        <v>22</v>
      </c>
      <c r="H14" s="1027" t="s">
        <v>22</v>
      </c>
      <c r="I14" s="29594" t="s">
        <v>22</v>
      </c>
      <c r="J14" s="29593" t="s">
        <v>22</v>
      </c>
      <c r="K14" s="29591" t="s">
        <v>22</v>
      </c>
      <c r="L14" s="29589" t="s">
        <v>22</v>
      </c>
      <c r="M14" s="29591" t="s">
        <v>22</v>
      </c>
      <c r="N14" s="29589" t="s">
        <v>22</v>
      </c>
      <c r="O14" s="29591" t="s">
        <v>22</v>
      </c>
      <c r="P14" s="29589" t="s">
        <v>22</v>
      </c>
      <c r="Q14" s="29591" t="s">
        <v>22</v>
      </c>
      <c r="R14" s="29589" t="s">
        <v>22</v>
      </c>
      <c r="S14" s="915" t="s">
        <v>971</v>
      </c>
      <c r="AD14" s="1131">
        <v>0</v>
      </c>
    </row>
    <row s="34657" customFormat="1" customHeight="1" ht="15" hidden="1">
      <c r="C15" s="1298"/>
      <c r="K15" s="4490"/>
      <c r="L15" s="4490"/>
      <c r="M15" s="4490"/>
      <c r="N15" s="4490"/>
      <c r="O15" s="4490"/>
      <c r="P15" s="4490"/>
      <c r="Q15" s="4490"/>
      <c r="R15" s="4490"/>
      <c r="AC15" s="1046"/>
      <c r="AD15" s="1043">
        <v>0</v>
      </c>
    </row>
    <row s="34657" customFormat="1" customHeight="1" ht="15" hidden="1">
      <c r="C16" s="1298"/>
      <c r="K16" s="4490"/>
      <c r="L16" s="4490"/>
      <c r="M16" s="4490"/>
      <c r="N16" s="4490"/>
      <c r="O16" s="4490"/>
      <c r="P16" s="4490"/>
      <c r="Q16" s="4490"/>
      <c r="R16" s="4490"/>
      <c r="AC16" s="1046"/>
      <c r="AD16" s="1043">
        <v>0</v>
      </c>
    </row>
    <row s="34657" customFormat="1" customHeight="1" ht="15" hidden="1">
      <c r="C17" s="1298"/>
      <c r="K17" s="4490"/>
      <c r="L17" s="4490"/>
      <c r="M17" s="4490"/>
      <c r="N17" s="4490"/>
      <c r="O17" s="4490"/>
      <c r="P17" s="4490"/>
      <c r="Q17" s="4490"/>
      <c r="R17" s="4490"/>
      <c r="AC17" s="1046"/>
      <c r="AD17" s="1043">
        <v>0</v>
      </c>
    </row>
    <row s="34657" customFormat="1" customHeight="1" ht="15" hidden="1">
      <c r="C18" s="1298"/>
      <c r="K18" s="4490"/>
      <c r="L18" s="4490"/>
      <c r="M18" s="4490"/>
      <c r="N18" s="4490"/>
      <c r="O18" s="4490"/>
      <c r="P18" s="4490"/>
      <c r="Q18" s="4490"/>
      <c r="R18" s="4490"/>
      <c r="AC18" s="1046"/>
      <c r="AD18" s="1043">
        <v>0</v>
      </c>
    </row>
    <row s="34657" customFormat="1" customHeight="1" ht="15" hidden="1">
      <c r="C19" s="1298"/>
      <c r="K19" s="4490"/>
      <c r="L19" s="4490"/>
      <c r="M19" s="4490"/>
      <c r="N19" s="4490"/>
      <c r="O19" s="4490"/>
      <c r="P19" s="4490"/>
      <c r="Q19" s="4490"/>
      <c r="R19" s="4490"/>
      <c r="AC19" s="1046"/>
      <c r="AD19" s="1043">
        <v>0</v>
      </c>
    </row>
    <row s="34657" customFormat="1" customHeight="1" ht="15" hidden="1">
      <c r="C20" s="1298"/>
      <c r="K20" s="4490"/>
      <c r="L20" s="4490"/>
      <c r="M20" s="4490"/>
      <c r="N20" s="4490"/>
      <c r="O20" s="4490"/>
      <c r="P20" s="4490"/>
      <c r="Q20" s="4490"/>
      <c r="R20" s="4490"/>
      <c r="AC20" s="1046"/>
      <c r="AD20" s="1043">
        <v>0</v>
      </c>
    </row>
    <row customHeight="1" ht="15.75">
      <c r="C21" s="802"/>
      <c r="D21" s="1135"/>
      <c r="E21" s="1135"/>
      <c r="F21" s="1135"/>
      <c r="G21" s="1135"/>
      <c r="H21" s="1135"/>
      <c r="I21" s="1135"/>
      <c r="J21" s="1135"/>
      <c r="K21" s="4469"/>
      <c r="L21" s="4469"/>
      <c r="M21" s="4469"/>
      <c r="N21" s="4469"/>
      <c r="O21" s="4469"/>
      <c r="P21" s="4469"/>
      <c r="Q21" s="4469"/>
      <c r="R21" s="4469"/>
      <c r="AD21" s="1131">
        <v>15</v>
      </c>
    </row>
    <row customHeight="1" ht="23.25">
      <c r="C22" s="802"/>
      <c r="D22" s="286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863"/>
      <c r="F22" s="2863"/>
      <c r="G22" s="2863"/>
      <c r="H22" s="2863"/>
      <c r="I22" s="2863"/>
      <c r="J22" s="1302"/>
      <c r="K22" s="4501"/>
      <c r="L22" s="4501"/>
      <c r="M22" s="4501"/>
      <c r="N22" s="4501"/>
      <c r="O22" s="4501"/>
      <c r="P22" s="4501"/>
      <c r="Q22" s="4501"/>
      <c r="R22" s="4501"/>
      <c r="S22" s="1163"/>
      <c r="AD22" s="1131">
        <v>22</v>
      </c>
    </row>
    <row customHeight="1" ht="15.75">
      <c r="C23" s="802"/>
      <c r="D23" s="2802" t="str">
        <f>IF(org=0,"Не определено",org)</f>
        <v>АО "ДГК"</v>
      </c>
      <c r="E23" s="2802"/>
      <c r="F23" s="2802"/>
      <c r="G23" s="2802"/>
      <c r="H23" s="2802"/>
      <c r="I23" s="2802"/>
      <c r="J23" s="1302"/>
      <c r="K23" s="4503"/>
      <c r="L23" s="4503"/>
      <c r="M23" s="4503"/>
      <c r="N23" s="4503"/>
      <c r="O23" s="4503"/>
      <c r="P23" s="4503"/>
      <c r="Q23" s="4503"/>
      <c r="R23" s="4503"/>
      <c r="S23" s="1163"/>
      <c r="AD23" s="1131">
        <v>15</v>
      </c>
    </row>
    <row customHeight="1" ht="15.75">
      <c r="C24" s="802"/>
      <c r="D24" s="1135"/>
      <c r="E24" s="1135"/>
      <c r="F24" s="1135"/>
      <c r="G24" s="1163">
        <v>22</v>
      </c>
      <c r="H24" s="1378"/>
      <c r="I24" s="1163">
        <v>22</v>
      </c>
      <c r="J24" s="1378"/>
      <c r="K24" s="4490" t="s">
        <v>22</v>
      </c>
      <c r="L24" s="4846"/>
      <c r="M24" s="4490" t="s">
        <v>22</v>
      </c>
      <c r="N24" s="4846"/>
      <c r="O24" s="4490" t="s">
        <v>22</v>
      </c>
      <c r="P24" s="4846"/>
      <c r="Q24" s="4490" t="s">
        <v>22</v>
      </c>
      <c r="R24" s="4846"/>
      <c r="AD24" s="1131">
        <v>15</v>
      </c>
    </row>
    <row s="34580" customFormat="1" customHeight="1" ht="1.05">
      <c r="A25" s="1385"/>
      <c r="C25" s="802"/>
      <c r="D25" s="1135"/>
      <c r="E25" s="1135"/>
      <c r="F25" s="1135"/>
      <c r="G25" s="1163"/>
      <c r="H25" s="1378"/>
      <c r="I25" s="1163" t="s">
        <v>126</v>
      </c>
      <c r="J25" s="1378"/>
      <c r="K25" s="4490" t="s">
        <v>131</v>
      </c>
      <c r="L25" s="4846"/>
      <c r="M25" s="4490" t="s">
        <v>134</v>
      </c>
      <c r="N25" s="4846"/>
      <c r="O25" s="4490" t="s">
        <v>139</v>
      </c>
      <c r="P25" s="4846"/>
      <c r="Q25" s="4490" t="s">
        <v>137</v>
      </c>
      <c r="R25" s="4846"/>
      <c r="S25" s="1043"/>
      <c r="AC25" s="1301"/>
      <c r="AD25" s="1384">
        <v>1</v>
      </c>
    </row>
    <row customHeight="1" ht="15.75">
      <c r="C26" s="802"/>
      <c r="D26" s="1337"/>
      <c r="E26" s="2993" t="s">
        <v>114</v>
      </c>
      <c r="F26" s="2994"/>
      <c r="G26" s="3021" t="str">
        <f>IF(G25="","",INDEX(DIFFERENTIATION_UNMERGE_VD,MATCH(G25,DIFFERENTIATION_ID_DIFF,0)))</f>
        <v/>
      </c>
      <c r="H26" s="3022"/>
      <c r="I26" s="3021"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J26" s="3022"/>
      <c r="K26" s="4947"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L26" s="4948"/>
      <c r="M26" s="4947" t="str">
        <f>IF(M25="","",INDEX(DIFFERENTIATION_UNMERGE_VD,MATCH(M25,DIFFERENTIATION_ID_DIFF,0)))</f>
        <v>Производство тепловой энергии. Некомбинированная выработка</v>
      </c>
      <c r="N26" s="4948"/>
      <c r="O26" s="4947" t="str">
        <f>IF(O25="","",INDEX(DIFFERENTIATION_UNMERGE_VD,MATCH(O25,DIFFERENTIATION_ID_DIFF,0)))</f>
        <v>Производство тепловой энергии. Комбинированная выработка с уст. мощностью производства электрической энергии 25 МВт и более</v>
      </c>
      <c r="P26" s="4948"/>
      <c r="Q26" s="4947" t="str">
        <f>IF(Q25="","",INDEX(DIFFERENTIATION_UNMERGE_VD,MATCH(Q25,DIFFERENTIATION_ID_DIFF,0)))</f>
        <v>Производство тепловой энергии. Некомбинированная выработка</v>
      </c>
      <c r="R26" s="4948"/>
      <c r="S26" s="2801" t="s">
        <v>319</v>
      </c>
      <c r="AD26" s="1131">
        <v>15</v>
      </c>
    </row>
    <row s="34580" customFormat="1" customHeight="1" ht="15.75">
      <c r="A27" s="1385"/>
      <c r="C27" s="802"/>
      <c r="D27" s="1337"/>
      <c r="E27" s="2993" t="s">
        <v>582</v>
      </c>
      <c r="F27" s="2994"/>
      <c r="G27" s="3021" t="str">
        <f>IF(G25="","",INDEX(DIFFERENTIATION_UNMERGE_AREA,MATCH(G25,DIFFERENTIATION_ID_DIFF,0)))</f>
        <v/>
      </c>
      <c r="H27" s="3022"/>
      <c r="I27" s="3021" t="str">
        <f>IF(I25="","",INDEX(DIFFERENTIATION_UNMERGE_AREA,MATCH(I25,DIFFERENTIATION_ID_DIFF,0)))</f>
        <v>Территория 1</v>
      </c>
      <c r="J27" s="3022"/>
      <c r="K27" s="4947" t="str">
        <f>IF(K25="","",INDEX(DIFFERENTIATION_UNMERGE_AREA,MATCH(K25,DIFFERENTIATION_ID_DIFF,0)))</f>
        <v>Территория 2</v>
      </c>
      <c r="L27" s="4948"/>
      <c r="M27" s="4947" t="str">
        <f>IF(M25="","",INDEX(DIFFERENTIATION_UNMERGE_AREA,MATCH(M25,DIFFERENTIATION_ID_DIFF,0)))</f>
        <v>Территория 2</v>
      </c>
      <c r="N27" s="4948"/>
      <c r="O27" s="4947" t="str">
        <f>IF(O25="","",INDEX(DIFFERENTIATION_UNMERGE_AREA,MATCH(O25,DIFFERENTIATION_ID_DIFF,0)))</f>
        <v>Территория 3</v>
      </c>
      <c r="P27" s="4948"/>
      <c r="Q27" s="4947" t="str">
        <f>IF(Q25="","",INDEX(DIFFERENTIATION_UNMERGE_AREA,MATCH(Q25,DIFFERENTIATION_ID_DIFF,0)))</f>
        <v>Территория 3</v>
      </c>
      <c r="R27" s="4948"/>
      <c r="S27" s="2821"/>
      <c r="AC27" s="1301"/>
      <c r="AD27" s="1384">
        <v>15</v>
      </c>
    </row>
    <row s="34580" customFormat="1" customHeight="1" ht="15.75">
      <c r="A28" s="1385"/>
      <c r="C28" s="802"/>
      <c r="D28" s="1337"/>
      <c r="E28" s="2993" t="s">
        <v>583</v>
      </c>
      <c r="F28" s="2994"/>
      <c r="G28" s="3021" t="str">
        <f>IF(G25="","",INDEX(DIFFERENTIATION_UNMERGE_SYSTEM,MATCH(G25,DIFFERENTIATION_ID_DIFF,0)))</f>
        <v/>
      </c>
      <c r="H28" s="3022"/>
      <c r="I28" s="3021" t="str">
        <f>IF(I25="","",INDEX(DIFFERENTIATION_UNMERGE_SYSTEM,MATCH(I25,DIFFERENTIATION_ID_DIFF,0)))</f>
        <v>Благовещенская ТЭЦ (г. Благовещенск)</v>
      </c>
      <c r="J28" s="3022"/>
      <c r="K28" s="4947" t="str">
        <f>IF(K25="","",INDEX(DIFFERENTIATION_UNMERGE_SYSTEM,MATCH(K25,DIFFERENTIATION_ID_DIFF,0)))</f>
        <v>Райчихинская ГРЭС </v>
      </c>
      <c r="L28" s="4948"/>
      <c r="M28" s="4947" t="str">
        <f>IF(M25="","",INDEX(DIFFERENTIATION_UNMERGE_SYSTEM,MATCH(M25,DIFFERENTIATION_ID_DIFF,0)))</f>
        <v>Котельная "Агромех" (п.г.т. Новорайчихинск)</v>
      </c>
      <c r="N28" s="4948"/>
      <c r="O28" s="4947" t="str">
        <f>IF(O25="","",INDEX(DIFFERENTIATION_UNMERGE_SYSTEM,MATCH(O25,DIFFERENTIATION_ID_DIFF,0)))</f>
        <v>Благовещенская ТЭЦ (с. Чигири)</v>
      </c>
      <c r="P28" s="4948"/>
      <c r="Q28" s="4947" t="str">
        <f>IF(Q25="","",INDEX(DIFFERENTIATION_UNMERGE_SYSTEM,MATCH(Q25,DIFFERENTIATION_ID_DIFF,0)))</f>
        <v>Котельная "Центральная" (с. Чигири ) </v>
      </c>
      <c r="R28" s="4948"/>
      <c r="S28" s="2821"/>
      <c r="AC28" s="1301"/>
      <c r="AD28" s="1384">
        <v>15</v>
      </c>
    </row>
    <row s="34580" customFormat="1" customHeight="1" ht="15.75">
      <c r="A29" s="1385"/>
      <c r="C29" s="802"/>
      <c r="D29" s="2995" t="s">
        <v>318</v>
      </c>
      <c r="E29" s="2996"/>
      <c r="F29" s="2996"/>
      <c r="G29" s="1513"/>
      <c r="H29" s="1513"/>
      <c r="I29" s="1513"/>
      <c r="J29" s="1514"/>
      <c r="K29" s="4516"/>
      <c r="L29" s="4516"/>
      <c r="M29" s="4516"/>
      <c r="N29" s="4516"/>
      <c r="O29" s="4516"/>
      <c r="P29" s="4516"/>
      <c r="Q29" s="4516"/>
      <c r="R29" s="4516"/>
      <c r="S29" s="2821"/>
      <c r="AC29" s="1301"/>
      <c r="AD29" s="1384">
        <v>15</v>
      </c>
    </row>
    <row customHeight="1" ht="35.699999999999996">
      <c r="C30" s="802"/>
      <c r="D30" s="1387" t="s">
        <v>88</v>
      </c>
      <c r="E30" s="1386" t="s">
        <v>320</v>
      </c>
      <c r="F30" s="1386" t="s">
        <v>584</v>
      </c>
      <c r="G30" s="1434" t="s">
        <v>321</v>
      </c>
      <c r="H30" s="1433" t="s">
        <v>408</v>
      </c>
      <c r="I30" s="1310" t="s">
        <v>321</v>
      </c>
      <c r="J30" s="1091" t="s">
        <v>408</v>
      </c>
      <c r="K30" s="4747" t="s">
        <v>321</v>
      </c>
      <c r="L30" s="4475" t="s">
        <v>408</v>
      </c>
      <c r="M30" s="4747" t="s">
        <v>321</v>
      </c>
      <c r="N30" s="4475" t="s">
        <v>408</v>
      </c>
      <c r="O30" s="4747" t="s">
        <v>321</v>
      </c>
      <c r="P30" s="4475" t="s">
        <v>408</v>
      </c>
      <c r="Q30" s="4747" t="s">
        <v>321</v>
      </c>
      <c r="R30" s="4475" t="s">
        <v>408</v>
      </c>
      <c r="S30" s="2827"/>
      <c r="AD30" s="1131">
        <v>34</v>
      </c>
    </row>
    <row customHeight="1" ht="15" hidden="1">
      <c r="C31" s="802"/>
      <c r="D31" s="1219"/>
      <c r="E31" s="1219"/>
      <c r="F31" s="1219"/>
      <c r="G31" s="1285"/>
      <c r="H31" s="1285"/>
      <c r="I31" s="1285"/>
      <c r="J31" s="1285"/>
      <c r="K31" s="4955"/>
      <c r="L31" s="4955"/>
      <c r="M31" s="4955"/>
      <c r="N31" s="4955"/>
      <c r="O31" s="4955"/>
      <c r="P31" s="4955"/>
      <c r="Q31" s="4955"/>
      <c r="R31" s="4955"/>
      <c r="S31" s="915"/>
      <c r="AD31" s="1131">
        <v>0</v>
      </c>
    </row>
    <row customHeight="1" ht="24">
      <c r="A32" s="1131"/>
      <c r="B32" s="1131" t="s">
        <v>972</v>
      </c>
      <c r="C32" s="1152"/>
      <c r="D32" s="1318">
        <v>1</v>
      </c>
      <c r="E32" s="1319" t="s">
        <v>973</v>
      </c>
      <c r="F32" s="1317" t="s">
        <v>324</v>
      </c>
      <c r="G32" s="1439" t="s">
        <v>324</v>
      </c>
      <c r="H32" s="1439" t="s">
        <v>324</v>
      </c>
      <c r="I32" s="1317" t="s">
        <v>324</v>
      </c>
      <c r="J32" s="1317" t="s">
        <v>324</v>
      </c>
      <c r="K32" s="4959" t="s">
        <v>324</v>
      </c>
      <c r="L32" s="4959" t="s">
        <v>324</v>
      </c>
      <c r="M32" s="4959" t="s">
        <v>324</v>
      </c>
      <c r="N32" s="4959" t="s">
        <v>324</v>
      </c>
      <c r="O32" s="4959" t="s">
        <v>324</v>
      </c>
      <c r="P32" s="4959" t="s">
        <v>324</v>
      </c>
      <c r="Q32" s="4959" t="s">
        <v>324</v>
      </c>
      <c r="R32" s="4959" t="s">
        <v>324</v>
      </c>
      <c r="S32" s="915"/>
      <c r="AD32" s="1131">
        <v>23</v>
      </c>
    </row>
    <row customHeight="1" ht="11.549999999999999">
      <c r="A33" s="1131"/>
      <c r="C33" s="1131"/>
      <c r="D33" s="973"/>
      <c r="E33" s="1206" t="s">
        <v>604</v>
      </c>
      <c r="F33" s="1198"/>
      <c r="G33" s="1198"/>
      <c r="H33" s="1198"/>
      <c r="I33" s="1198"/>
      <c r="J33" s="1198"/>
      <c r="K33" s="4960"/>
      <c r="L33" s="4961"/>
      <c r="M33" s="4962"/>
      <c r="N33" s="4963"/>
      <c r="O33" s="4964"/>
      <c r="P33" s="4965"/>
      <c r="Q33" s="4966"/>
      <c r="R33" s="4967"/>
      <c r="S33" s="1199"/>
      <c r="AC33" s="1131"/>
      <c r="AD33" s="1131">
        <v>11</v>
      </c>
    </row>
    <row customHeight="1" ht="24">
      <c r="A34" s="1131"/>
      <c r="B34" s="1207" t="s">
        <v>658</v>
      </c>
      <c r="C34" s="1152"/>
      <c r="D34" s="1318">
        <v>2</v>
      </c>
      <c r="E34" s="1319" t="s">
        <v>974</v>
      </c>
      <c r="F34" s="1446" t="s">
        <v>324</v>
      </c>
      <c r="G34" s="1446" t="s">
        <v>324</v>
      </c>
      <c r="H34" s="1446" t="s">
        <v>324</v>
      </c>
      <c r="I34" s="1317"/>
      <c r="J34" s="1317"/>
      <c r="K34" s="4959" t="s">
        <v>324</v>
      </c>
      <c r="L34" s="4959" t="s">
        <v>324</v>
      </c>
      <c r="M34" s="4959" t="s">
        <v>324</v>
      </c>
      <c r="N34" s="4959" t="s">
        <v>324</v>
      </c>
      <c r="O34" s="4959" t="s">
        <v>324</v>
      </c>
      <c r="P34" s="4959" t="s">
        <v>324</v>
      </c>
      <c r="Q34" s="4959" t="s">
        <v>324</v>
      </c>
      <c r="R34" s="4959" t="s">
        <v>324</v>
      </c>
      <c r="S34" s="915"/>
      <c r="AD34" s="1131">
        <v>23</v>
      </c>
    </row>
    <row customHeight="1" ht="11.549999999999999">
      <c r="A35" s="1131"/>
      <c r="C35" s="1131"/>
      <c r="D35" s="973"/>
      <c r="E35" s="1206" t="s">
        <v>975</v>
      </c>
      <c r="F35" s="1198"/>
      <c r="G35" s="1320"/>
      <c r="H35" s="1198"/>
      <c r="I35" s="1320"/>
      <c r="J35" s="1198"/>
      <c r="K35" s="4970"/>
      <c r="L35" s="4971"/>
      <c r="M35" s="4972"/>
      <c r="N35" s="4973"/>
      <c r="O35" s="4974"/>
      <c r="P35" s="4975"/>
      <c r="Q35" s="4976"/>
      <c r="R35" s="4977"/>
      <c r="S35" s="1199"/>
      <c r="AC35" s="1131"/>
      <c r="AD35" s="1131">
        <v>11</v>
      </c>
    </row>
    <row customHeight="1" ht="71.25">
      <c r="A36" s="1131"/>
      <c r="B36" s="1131" t="s">
        <v>976</v>
      </c>
      <c r="C36" s="1152"/>
      <c r="D36" s="1318">
        <v>3</v>
      </c>
      <c r="E36" s="1319" t="s">
        <v>977</v>
      </c>
      <c r="F36" s="1321" t="s">
        <v>324</v>
      </c>
      <c r="G36" s="1440" t="s">
        <v>978</v>
      </c>
      <c r="H36" s="1439" t="s">
        <v>324</v>
      </c>
      <c r="I36" s="1150" t="s">
        <v>978</v>
      </c>
      <c r="J36" s="1317" t="s">
        <v>324</v>
      </c>
      <c r="K36" s="4981" t="s">
        <v>978</v>
      </c>
      <c r="L36" s="4959" t="s">
        <v>324</v>
      </c>
      <c r="M36" s="4981" t="s">
        <v>978</v>
      </c>
      <c r="N36" s="4959" t="s">
        <v>324</v>
      </c>
      <c r="O36" s="4981" t="s">
        <v>979</v>
      </c>
      <c r="P36" s="4959" t="s">
        <v>324</v>
      </c>
      <c r="Q36" s="4981" t="s">
        <v>978</v>
      </c>
      <c r="R36" s="4959" t="s">
        <v>324</v>
      </c>
      <c r="S36" s="915" t="s">
        <v>980</v>
      </c>
      <c r="AD36" s="1131">
        <v>68</v>
      </c>
    </row>
    <row s="36264" customFormat="1" customHeight="1" ht="33.75">
      <c r="A37" s="7730"/>
      <c r="B37" s="7731" t="s">
        <v>342</v>
      </c>
      <c r="C37" s="7732" t="s">
        <v>103</v>
      </c>
      <c r="D37" s="7733" t="str">
        <f>B37&amp;".1"</f>
        <v>3.1.1</v>
      </c>
      <c r="E37" s="7734" t="s">
        <v>963</v>
      </c>
      <c r="F37" s="7735" t="s">
        <v>324</v>
      </c>
      <c r="G37" s="7736" t="s">
        <v>22</v>
      </c>
      <c r="H37" s="7737" t="s">
        <v>22</v>
      </c>
      <c r="I37" s="7736" t="s">
        <v>981</v>
      </c>
      <c r="J37" s="7737" t="s">
        <v>22</v>
      </c>
      <c r="K37" s="7736" t="s">
        <v>981</v>
      </c>
      <c r="L37" s="7737" t="s">
        <v>22</v>
      </c>
      <c r="M37" s="7736" t="s">
        <v>982</v>
      </c>
      <c r="N37" s="7737" t="s">
        <v>22</v>
      </c>
      <c r="O37" s="29642" t="s">
        <v>22</v>
      </c>
      <c r="P37" s="29643" t="s">
        <v>22</v>
      </c>
      <c r="Q37" s="7736" t="s">
        <v>981</v>
      </c>
      <c r="R37" s="7737" t="s">
        <v>22</v>
      </c>
      <c r="S37" s="7738"/>
      <c r="T37" s="7730"/>
      <c r="U37" s="7730"/>
      <c r="V37" s="7730"/>
      <c r="W37" s="7730"/>
      <c r="X37" s="7730"/>
      <c r="Y37" s="7730"/>
      <c r="Z37" s="7730"/>
      <c r="AA37" s="7730"/>
      <c r="AB37" s="7730"/>
      <c r="AC37" s="7739"/>
      <c r="AD37" s="7730">
        <v>0</v>
      </c>
    </row>
    <row s="36277" customFormat="1" customHeight="1" ht="15">
      <c r="A38" s="7730"/>
      <c r="B38" s="7731"/>
      <c r="C38" s="7732"/>
      <c r="D38" s="7733" t="str">
        <f>B37&amp;".2"</f>
        <v>3.1.2</v>
      </c>
      <c r="E38" s="7734" t="s">
        <v>964</v>
      </c>
      <c r="F38" s="7735" t="s">
        <v>324</v>
      </c>
      <c r="G38" s="7741" t="s">
        <v>22</v>
      </c>
      <c r="H38" s="7737" t="s">
        <v>22</v>
      </c>
      <c r="I38" s="19669">
        <v>45383</v>
      </c>
      <c r="J38" s="7737" t="s">
        <v>22</v>
      </c>
      <c r="K38" s="22992">
        <v>45383.65974537037</v>
      </c>
      <c r="L38" s="7737" t="s">
        <v>22</v>
      </c>
      <c r="M38" s="22992">
        <v>45386.664560185185</v>
      </c>
      <c r="N38" s="7737" t="s">
        <v>22</v>
      </c>
      <c r="O38" s="29650" t="s">
        <v>22</v>
      </c>
      <c r="P38" s="29643" t="s">
        <v>22</v>
      </c>
      <c r="Q38" s="16570">
        <v>45386.461863425924</v>
      </c>
      <c r="R38" s="7737" t="s">
        <v>22</v>
      </c>
      <c r="S38" s="7738" t="s">
        <v>965</v>
      </c>
      <c r="T38" s="7730"/>
      <c r="U38" s="7730"/>
      <c r="V38" s="7730"/>
      <c r="W38" s="7730"/>
      <c r="X38" s="7730"/>
      <c r="Y38" s="7730"/>
      <c r="Z38" s="7730"/>
      <c r="AA38" s="7730"/>
      <c r="AB38" s="7730"/>
      <c r="AC38" s="7739"/>
      <c r="AD38" s="7730">
        <v>0</v>
      </c>
    </row>
    <row s="36283" customFormat="1" customHeight="1" ht="15">
      <c r="A39" s="7730"/>
      <c r="B39" s="7731"/>
      <c r="C39" s="7732"/>
      <c r="D39" s="7733" t="str">
        <f>B37&amp;".3"</f>
        <v>3.1.3</v>
      </c>
      <c r="E39" s="7734" t="s">
        <v>966</v>
      </c>
      <c r="F39" s="7735" t="s">
        <v>324</v>
      </c>
      <c r="G39" s="7741" t="s">
        <v>22</v>
      </c>
      <c r="H39" s="7737" t="s">
        <v>22</v>
      </c>
      <c r="I39" s="19669">
        <v>45473</v>
      </c>
      <c r="J39" s="7737" t="s">
        <v>22</v>
      </c>
      <c r="K39" s="22992">
        <v>45418.66203703704</v>
      </c>
      <c r="L39" s="7737" t="s">
        <v>22</v>
      </c>
      <c r="M39" s="22992">
        <v>45418.663310185184</v>
      </c>
      <c r="N39" s="7737" t="s">
        <v>22</v>
      </c>
      <c r="O39" s="29650" t="s">
        <v>22</v>
      </c>
      <c r="P39" s="29643" t="s">
        <v>22</v>
      </c>
      <c r="Q39" s="16570">
        <v>45473</v>
      </c>
      <c r="R39" s="7737" t="s">
        <v>22</v>
      </c>
      <c r="S39" s="7738" t="s">
        <v>967</v>
      </c>
      <c r="T39" s="7730"/>
      <c r="U39" s="7730"/>
      <c r="V39" s="7730"/>
      <c r="W39" s="7730"/>
      <c r="X39" s="7730"/>
      <c r="Y39" s="7730"/>
      <c r="Z39" s="7730"/>
      <c r="AA39" s="7730"/>
      <c r="AB39" s="7730"/>
      <c r="AC39" s="7739"/>
      <c r="AD39" s="7730">
        <v>0</v>
      </c>
    </row>
    <row s="36284" customFormat="1" customHeight="1" ht="34.5">
      <c r="A40" s="7730"/>
      <c r="B40" s="7731" t="s">
        <v>350</v>
      </c>
      <c r="C40" s="7732" t="s">
        <v>103</v>
      </c>
      <c r="D40" s="7733" t="str">
        <f>B40&amp;".1"</f>
        <v>3.2.1</v>
      </c>
      <c r="E40" s="7734" t="s">
        <v>963</v>
      </c>
      <c r="F40" s="7735" t="s">
        <v>324</v>
      </c>
      <c r="G40" s="7744" t="s">
        <v>22</v>
      </c>
      <c r="H40" s="7737" t="s">
        <v>22</v>
      </c>
      <c r="I40" s="7744" t="s">
        <v>981</v>
      </c>
      <c r="J40" s="7737" t="s">
        <v>22</v>
      </c>
      <c r="K40" s="7744" t="s">
        <v>981</v>
      </c>
      <c r="L40" s="7737" t="s">
        <v>22</v>
      </c>
      <c r="M40" s="7744" t="s">
        <v>982</v>
      </c>
      <c r="N40" s="7737" t="s">
        <v>22</v>
      </c>
      <c r="O40" s="29655" t="s">
        <v>22</v>
      </c>
      <c r="P40" s="29643" t="s">
        <v>22</v>
      </c>
      <c r="Q40" s="7744" t="s">
        <v>983</v>
      </c>
      <c r="R40" s="7737" t="s">
        <v>22</v>
      </c>
      <c r="S40" s="7738"/>
      <c r="T40" s="7730"/>
      <c r="U40" s="7730"/>
      <c r="V40" s="7730"/>
      <c r="W40" s="7730"/>
      <c r="X40" s="7730"/>
      <c r="Y40" s="7730"/>
      <c r="Z40" s="7730"/>
      <c r="AA40" s="7730"/>
      <c r="AB40" s="7730"/>
      <c r="AC40" s="7739"/>
      <c r="AD40" s="7730">
        <v>0</v>
      </c>
    </row>
    <row s="36287" customFormat="1" customHeight="1" ht="15">
      <c r="A41" s="7730"/>
      <c r="B41" s="7731"/>
      <c r="C41" s="7732"/>
      <c r="D41" s="7733" t="str">
        <f>B40&amp;".2"</f>
        <v>3.2.2</v>
      </c>
      <c r="E41" s="7734" t="s">
        <v>964</v>
      </c>
      <c r="F41" s="7735" t="s">
        <v>324</v>
      </c>
      <c r="G41" s="7746" t="s">
        <v>22</v>
      </c>
      <c r="H41" s="7737" t="s">
        <v>22</v>
      </c>
      <c r="I41" s="16577">
        <v>45383</v>
      </c>
      <c r="J41" s="7737"/>
      <c r="K41" s="23000">
        <v>45383.66045138889</v>
      </c>
      <c r="L41" s="7737" t="s">
        <v>22</v>
      </c>
      <c r="M41" s="23000">
        <v>45390.63361111111</v>
      </c>
      <c r="N41" s="7737" t="s">
        <v>22</v>
      </c>
      <c r="O41" s="29660" t="s">
        <v>22</v>
      </c>
      <c r="P41" s="29643" t="s">
        <v>22</v>
      </c>
      <c r="Q41" s="16577">
        <v>45392</v>
      </c>
      <c r="R41" s="7737" t="s">
        <v>22</v>
      </c>
      <c r="S41" s="7738" t="s">
        <v>965</v>
      </c>
      <c r="T41" s="7730"/>
      <c r="U41" s="7730"/>
      <c r="V41" s="7730"/>
      <c r="W41" s="7730"/>
      <c r="X41" s="7730"/>
      <c r="Y41" s="7730"/>
      <c r="Z41" s="7730"/>
      <c r="AA41" s="7730"/>
      <c r="AB41" s="7730"/>
      <c r="AC41" s="7739"/>
      <c r="AD41" s="7730">
        <v>0</v>
      </c>
    </row>
    <row s="36292" customFormat="1" customHeight="1" ht="15">
      <c r="A42" s="7730"/>
      <c r="B42" s="7731"/>
      <c r="C42" s="7732"/>
      <c r="D42" s="7733" t="str">
        <f>B40&amp;".3"</f>
        <v>3.2.3</v>
      </c>
      <c r="E42" s="7734" t="s">
        <v>966</v>
      </c>
      <c r="F42" s="7735" t="s">
        <v>324</v>
      </c>
      <c r="G42" s="7746" t="s">
        <v>22</v>
      </c>
      <c r="H42" s="7737" t="s">
        <v>22</v>
      </c>
      <c r="I42" s="19680" t="s">
        <v>22</v>
      </c>
      <c r="J42" s="7737" t="s">
        <v>22</v>
      </c>
      <c r="K42" s="19680" t="s">
        <v>22</v>
      </c>
      <c r="L42" s="7737" t="s">
        <v>22</v>
      </c>
      <c r="M42" s="19680" t="s">
        <v>22</v>
      </c>
      <c r="N42" s="7737" t="s">
        <v>22</v>
      </c>
      <c r="O42" s="29663" t="s">
        <v>22</v>
      </c>
      <c r="P42" s="29643" t="s">
        <v>22</v>
      </c>
      <c r="Q42" s="19680">
        <v>45392</v>
      </c>
      <c r="R42" s="7737" t="s">
        <v>22</v>
      </c>
      <c r="S42" s="7738" t="s">
        <v>967</v>
      </c>
      <c r="T42" s="7730"/>
      <c r="U42" s="7730"/>
      <c r="V42" s="7730"/>
      <c r="W42" s="7730"/>
      <c r="X42" s="7730"/>
      <c r="Y42" s="7730"/>
      <c r="Z42" s="7730"/>
      <c r="AA42" s="7730"/>
      <c r="AB42" s="7730"/>
      <c r="AC42" s="7739"/>
      <c r="AD42" s="7730">
        <v>0</v>
      </c>
    </row>
    <row s="36295" customFormat="1" customHeight="1" ht="36.75">
      <c r="A43" s="7730"/>
      <c r="B43" s="7731" t="s">
        <v>352</v>
      </c>
      <c r="C43" s="7732" t="s">
        <v>103</v>
      </c>
      <c r="D43" s="7733" t="str">
        <f>B43&amp;".1"</f>
        <v>3.3.1</v>
      </c>
      <c r="E43" s="7734" t="s">
        <v>963</v>
      </c>
      <c r="F43" s="7735" t="s">
        <v>324</v>
      </c>
      <c r="G43" s="7744" t="s">
        <v>22</v>
      </c>
      <c r="H43" s="7737" t="s">
        <v>22</v>
      </c>
      <c r="I43" s="7744" t="s">
        <v>981</v>
      </c>
      <c r="J43" s="7737" t="s">
        <v>22</v>
      </c>
      <c r="K43" s="7744" t="s">
        <v>981</v>
      </c>
      <c r="L43" s="7737" t="s">
        <v>22</v>
      </c>
      <c r="M43" s="7744"/>
      <c r="N43" s="7737" t="s">
        <v>22</v>
      </c>
      <c r="O43" s="29655" t="s">
        <v>22</v>
      </c>
      <c r="P43" s="29643" t="s">
        <v>22</v>
      </c>
      <c r="Q43" s="7744" t="s">
        <v>22</v>
      </c>
      <c r="R43" s="7737" t="s">
        <v>22</v>
      </c>
      <c r="S43" s="7738"/>
      <c r="T43" s="7730"/>
      <c r="U43" s="7730"/>
      <c r="V43" s="7730"/>
      <c r="W43" s="7730"/>
      <c r="X43" s="7730"/>
      <c r="Y43" s="7730"/>
      <c r="Z43" s="7730"/>
      <c r="AA43" s="7730"/>
      <c r="AB43" s="7730"/>
      <c r="AC43" s="7739"/>
      <c r="AD43" s="7730">
        <v>0</v>
      </c>
    </row>
    <row s="36296" customFormat="1" customHeight="1" ht="15">
      <c r="A44" s="7730"/>
      <c r="B44" s="7731"/>
      <c r="C44" s="7732"/>
      <c r="D44" s="7733" t="str">
        <f>B43&amp;".2"</f>
        <v>3.3.2</v>
      </c>
      <c r="E44" s="7734" t="s">
        <v>964</v>
      </c>
      <c r="F44" s="7735" t="s">
        <v>324</v>
      </c>
      <c r="G44" s="7746" t="s">
        <v>22</v>
      </c>
      <c r="H44" s="7737" t="s">
        <v>22</v>
      </c>
      <c r="I44" s="19680">
        <v>45383</v>
      </c>
      <c r="J44" s="7737" t="s">
        <v>22</v>
      </c>
      <c r="K44" s="10582">
        <v>45383.64028935185</v>
      </c>
      <c r="L44" s="7737" t="s">
        <v>22</v>
      </c>
      <c r="M44" s="23000"/>
      <c r="N44" s="7737" t="s">
        <v>22</v>
      </c>
      <c r="O44" s="29660" t="s">
        <v>22</v>
      </c>
      <c r="P44" s="29643" t="s">
        <v>22</v>
      </c>
      <c r="Q44" s="7746" t="s">
        <v>22</v>
      </c>
      <c r="R44" s="7737" t="s">
        <v>22</v>
      </c>
      <c r="S44" s="7738" t="s">
        <v>965</v>
      </c>
      <c r="T44" s="7730"/>
      <c r="U44" s="7730"/>
      <c r="V44" s="7730"/>
      <c r="W44" s="7730"/>
      <c r="X44" s="7730"/>
      <c r="Y44" s="7730"/>
      <c r="Z44" s="7730"/>
      <c r="AA44" s="7730"/>
      <c r="AB44" s="7730"/>
      <c r="AC44" s="7739"/>
      <c r="AD44" s="7730">
        <v>0</v>
      </c>
    </row>
    <row s="36298" customFormat="1" customHeight="1" ht="15">
      <c r="A45" s="7730"/>
      <c r="B45" s="7731"/>
      <c r="C45" s="7732"/>
      <c r="D45" s="7733" t="str">
        <f>B43&amp;".3"</f>
        <v>3.3.3</v>
      </c>
      <c r="E45" s="7734" t="s">
        <v>966</v>
      </c>
      <c r="F45" s="7735" t="s">
        <v>324</v>
      </c>
      <c r="G45" s="7746" t="s">
        <v>22</v>
      </c>
      <c r="H45" s="7737" t="s">
        <v>22</v>
      </c>
      <c r="I45" s="19680" t="s">
        <v>22</v>
      </c>
      <c r="J45" s="7737" t="s">
        <v>22</v>
      </c>
      <c r="K45" s="10582" t="s">
        <v>22</v>
      </c>
      <c r="L45" s="7737" t="s">
        <v>22</v>
      </c>
      <c r="M45" s="10582" t="s">
        <v>22</v>
      </c>
      <c r="N45" s="7737" t="s">
        <v>22</v>
      </c>
      <c r="O45" s="29660" t="s">
        <v>22</v>
      </c>
      <c r="P45" s="29643" t="s">
        <v>22</v>
      </c>
      <c r="Q45" s="7746" t="s">
        <v>22</v>
      </c>
      <c r="R45" s="7737" t="s">
        <v>22</v>
      </c>
      <c r="S45" s="7738" t="s">
        <v>967</v>
      </c>
      <c r="T45" s="7730"/>
      <c r="U45" s="7730"/>
      <c r="V45" s="7730"/>
      <c r="W45" s="7730"/>
      <c r="X45" s="7730"/>
      <c r="Y45" s="7730"/>
      <c r="Z45" s="7730"/>
      <c r="AA45" s="7730"/>
      <c r="AB45" s="7730"/>
      <c r="AC45" s="7739"/>
      <c r="AD45" s="7730">
        <v>0</v>
      </c>
    </row>
    <row s="36299" customFormat="1" customHeight="1" ht="22.5">
      <c r="A46" s="7730"/>
      <c r="B46" s="7731" t="s">
        <v>354</v>
      </c>
      <c r="C46" s="7732" t="s">
        <v>103</v>
      </c>
      <c r="D46" s="7733" t="str">
        <f>B46&amp;".1"</f>
        <v>3.4.1</v>
      </c>
      <c r="E46" s="7734" t="s">
        <v>963</v>
      </c>
      <c r="F46" s="7735" t="s">
        <v>324</v>
      </c>
      <c r="G46" s="7744" t="s">
        <v>22</v>
      </c>
      <c r="H46" s="7737" t="s">
        <v>22</v>
      </c>
      <c r="I46" s="7744" t="s">
        <v>981</v>
      </c>
      <c r="J46" s="7737" t="s">
        <v>22</v>
      </c>
      <c r="K46" s="7744" t="s">
        <v>981</v>
      </c>
      <c r="L46" s="7737" t="s">
        <v>22</v>
      </c>
      <c r="M46" s="7744" t="s">
        <v>22</v>
      </c>
      <c r="N46" s="7737" t="s">
        <v>22</v>
      </c>
      <c r="O46" s="29655" t="s">
        <v>22</v>
      </c>
      <c r="P46" s="29643" t="s">
        <v>22</v>
      </c>
      <c r="Q46" s="7744" t="s">
        <v>22</v>
      </c>
      <c r="R46" s="7737" t="s">
        <v>22</v>
      </c>
      <c r="S46" s="7738"/>
      <c r="T46" s="7730"/>
      <c r="U46" s="7730"/>
      <c r="V46" s="7730"/>
      <c r="W46" s="7730"/>
      <c r="X46" s="7730"/>
      <c r="Y46" s="7730"/>
      <c r="Z46" s="7730"/>
      <c r="AA46" s="7730"/>
      <c r="AB46" s="7730"/>
      <c r="AC46" s="7739"/>
      <c r="AD46" s="7730">
        <v>0</v>
      </c>
    </row>
    <row s="36300" customFormat="1" customHeight="1" ht="15">
      <c r="A47" s="7730"/>
      <c r="B47" s="7731"/>
      <c r="C47" s="7732"/>
      <c r="D47" s="7733" t="str">
        <f>B46&amp;".2"</f>
        <v>3.4.2</v>
      </c>
      <c r="E47" s="7734" t="s">
        <v>964</v>
      </c>
      <c r="F47" s="7735" t="s">
        <v>324</v>
      </c>
      <c r="G47" s="7746" t="s">
        <v>22</v>
      </c>
      <c r="H47" s="7737" t="s">
        <v>22</v>
      </c>
      <c r="I47" s="19680">
        <v>45383</v>
      </c>
      <c r="J47" s="7737" t="s">
        <v>22</v>
      </c>
      <c r="K47" s="10582">
        <v>45383.6409375</v>
      </c>
      <c r="L47" s="7737" t="s">
        <v>22</v>
      </c>
      <c r="M47" s="10582" t="s">
        <v>22</v>
      </c>
      <c r="N47" s="7737" t="s">
        <v>22</v>
      </c>
      <c r="O47" s="29660" t="s">
        <v>22</v>
      </c>
      <c r="P47" s="29643" t="s">
        <v>22</v>
      </c>
      <c r="Q47" s="7746" t="s">
        <v>22</v>
      </c>
      <c r="R47" s="7737" t="s">
        <v>22</v>
      </c>
      <c r="S47" s="7738" t="s">
        <v>965</v>
      </c>
      <c r="T47" s="7730"/>
      <c r="U47" s="7730"/>
      <c r="V47" s="7730"/>
      <c r="W47" s="7730"/>
      <c r="X47" s="7730"/>
      <c r="Y47" s="7730"/>
      <c r="Z47" s="7730"/>
      <c r="AA47" s="7730"/>
      <c r="AB47" s="7730"/>
      <c r="AC47" s="7739"/>
      <c r="AD47" s="7730">
        <v>0</v>
      </c>
    </row>
    <row s="36301" customFormat="1" customHeight="1" ht="15">
      <c r="A48" s="7730"/>
      <c r="B48" s="7731"/>
      <c r="C48" s="7732"/>
      <c r="D48" s="7733" t="str">
        <f>B46&amp;".3"</f>
        <v>3.4.3</v>
      </c>
      <c r="E48" s="7734" t="s">
        <v>966</v>
      </c>
      <c r="F48" s="7735" t="s">
        <v>324</v>
      </c>
      <c r="G48" s="7746" t="s">
        <v>22</v>
      </c>
      <c r="H48" s="7737" t="s">
        <v>22</v>
      </c>
      <c r="I48" s="19680" t="s">
        <v>22</v>
      </c>
      <c r="J48" s="7737" t="s">
        <v>22</v>
      </c>
      <c r="K48" s="10582" t="s">
        <v>22</v>
      </c>
      <c r="L48" s="7737" t="s">
        <v>22</v>
      </c>
      <c r="M48" s="10582" t="s">
        <v>22</v>
      </c>
      <c r="N48" s="7737" t="s">
        <v>22</v>
      </c>
      <c r="O48" s="29660" t="s">
        <v>22</v>
      </c>
      <c r="P48" s="29643" t="s">
        <v>22</v>
      </c>
      <c r="Q48" s="7746" t="s">
        <v>22</v>
      </c>
      <c r="R48" s="7737" t="s">
        <v>22</v>
      </c>
      <c r="S48" s="7738" t="s">
        <v>967</v>
      </c>
      <c r="T48" s="7730"/>
      <c r="U48" s="7730"/>
      <c r="V48" s="7730"/>
      <c r="W48" s="7730"/>
      <c r="X48" s="7730"/>
      <c r="Y48" s="7730"/>
      <c r="Z48" s="7730"/>
      <c r="AA48" s="7730"/>
      <c r="AB48" s="7730"/>
      <c r="AC48" s="7739"/>
      <c r="AD48" s="7730">
        <v>0</v>
      </c>
    </row>
    <row s="36302" customFormat="1" customHeight="1" ht="22.5">
      <c r="A49" s="7730"/>
      <c r="B49" s="7731" t="s">
        <v>939</v>
      </c>
      <c r="C49" s="7732" t="s">
        <v>103</v>
      </c>
      <c r="D49" s="7733" t="str">
        <f>B49&amp;".1"</f>
        <v>3.5.1</v>
      </c>
      <c r="E49" s="7734" t="s">
        <v>963</v>
      </c>
      <c r="F49" s="7735" t="s">
        <v>324</v>
      </c>
      <c r="G49" s="7744" t="s">
        <v>22</v>
      </c>
      <c r="H49" s="7737" t="s">
        <v>22</v>
      </c>
      <c r="I49" s="7744" t="s">
        <v>981</v>
      </c>
      <c r="J49" s="7737" t="s">
        <v>22</v>
      </c>
      <c r="K49" s="7744" t="s">
        <v>981</v>
      </c>
      <c r="L49" s="7737" t="s">
        <v>22</v>
      </c>
      <c r="M49" s="7744" t="s">
        <v>22</v>
      </c>
      <c r="N49" s="7737" t="s">
        <v>22</v>
      </c>
      <c r="O49" s="29655" t="s">
        <v>22</v>
      </c>
      <c r="P49" s="29643" t="s">
        <v>22</v>
      </c>
      <c r="Q49" s="7744" t="s">
        <v>22</v>
      </c>
      <c r="R49" s="7737" t="s">
        <v>22</v>
      </c>
      <c r="S49" s="7738"/>
      <c r="T49" s="7730"/>
      <c r="U49" s="7730"/>
      <c r="V49" s="7730"/>
      <c r="W49" s="7730"/>
      <c r="X49" s="7730"/>
      <c r="Y49" s="7730"/>
      <c r="Z49" s="7730"/>
      <c r="AA49" s="7730"/>
      <c r="AB49" s="7730"/>
      <c r="AC49" s="7739"/>
      <c r="AD49" s="7730">
        <v>0</v>
      </c>
    </row>
    <row s="36303" customFormat="1" customHeight="1" ht="15">
      <c r="A50" s="7730"/>
      <c r="B50" s="7731"/>
      <c r="C50" s="7732"/>
      <c r="D50" s="7733" t="str">
        <f>B49&amp;".2"</f>
        <v>3.5.2</v>
      </c>
      <c r="E50" s="7734" t="s">
        <v>964</v>
      </c>
      <c r="F50" s="7735" t="s">
        <v>324</v>
      </c>
      <c r="G50" s="7746" t="s">
        <v>22</v>
      </c>
      <c r="H50" s="7737" t="s">
        <v>22</v>
      </c>
      <c r="I50" s="19680">
        <v>45383</v>
      </c>
      <c r="J50" s="7737" t="s">
        <v>22</v>
      </c>
      <c r="K50" s="10582">
        <v>45383.641550925924</v>
      </c>
      <c r="L50" s="7737" t="s">
        <v>22</v>
      </c>
      <c r="M50" s="10582" t="s">
        <v>22</v>
      </c>
      <c r="N50" s="7737" t="s">
        <v>22</v>
      </c>
      <c r="O50" s="29660" t="s">
        <v>22</v>
      </c>
      <c r="P50" s="29643" t="s">
        <v>22</v>
      </c>
      <c r="Q50" s="7746" t="s">
        <v>22</v>
      </c>
      <c r="R50" s="7737" t="s">
        <v>22</v>
      </c>
      <c r="S50" s="7738" t="s">
        <v>965</v>
      </c>
      <c r="T50" s="7730"/>
      <c r="U50" s="7730"/>
      <c r="V50" s="7730"/>
      <c r="W50" s="7730"/>
      <c r="X50" s="7730"/>
      <c r="Y50" s="7730"/>
      <c r="Z50" s="7730"/>
      <c r="AA50" s="7730"/>
      <c r="AB50" s="7730"/>
      <c r="AC50" s="7739"/>
      <c r="AD50" s="7730">
        <v>0</v>
      </c>
    </row>
    <row s="36304" customFormat="1" customHeight="1" ht="15">
      <c r="A51" s="7730"/>
      <c r="B51" s="7731"/>
      <c r="C51" s="7732"/>
      <c r="D51" s="7733" t="str">
        <f>B49&amp;".3"</f>
        <v>3.5.3</v>
      </c>
      <c r="E51" s="7734" t="s">
        <v>966</v>
      </c>
      <c r="F51" s="7735" t="s">
        <v>324</v>
      </c>
      <c r="G51" s="7746" t="s">
        <v>22</v>
      </c>
      <c r="H51" s="7737" t="s">
        <v>22</v>
      </c>
      <c r="I51" s="19680" t="s">
        <v>22</v>
      </c>
      <c r="J51" s="7737" t="s">
        <v>22</v>
      </c>
      <c r="K51" s="10582"/>
      <c r="L51" s="7737" t="s">
        <v>22</v>
      </c>
      <c r="M51" s="10582" t="s">
        <v>22</v>
      </c>
      <c r="N51" s="7737" t="s">
        <v>22</v>
      </c>
      <c r="O51" s="29660" t="s">
        <v>22</v>
      </c>
      <c r="P51" s="29643" t="s">
        <v>22</v>
      </c>
      <c r="Q51" s="7746" t="s">
        <v>22</v>
      </c>
      <c r="R51" s="7737" t="s">
        <v>22</v>
      </c>
      <c r="S51" s="7738" t="s">
        <v>967</v>
      </c>
      <c r="T51" s="7730"/>
      <c r="U51" s="7730"/>
      <c r="V51" s="7730"/>
      <c r="W51" s="7730"/>
      <c r="X51" s="7730"/>
      <c r="Y51" s="7730"/>
      <c r="Z51" s="7730"/>
      <c r="AA51" s="7730"/>
      <c r="AB51" s="7730"/>
      <c r="AC51" s="7739"/>
      <c r="AD51" s="7730">
        <v>0</v>
      </c>
    </row>
    <row s="36305" customFormat="1" customHeight="1" ht="22.5">
      <c r="A52" s="7730"/>
      <c r="B52" s="7731" t="s">
        <v>941</v>
      </c>
      <c r="C52" s="7732" t="s">
        <v>103</v>
      </c>
      <c r="D52" s="7733" t="str">
        <f>B52&amp;".1"</f>
        <v>3.6.1</v>
      </c>
      <c r="E52" s="7734" t="s">
        <v>963</v>
      </c>
      <c r="F52" s="7735" t="s">
        <v>324</v>
      </c>
      <c r="G52" s="7744" t="s">
        <v>22</v>
      </c>
      <c r="H52" s="7737" t="s">
        <v>22</v>
      </c>
      <c r="I52" s="7744" t="s">
        <v>981</v>
      </c>
      <c r="J52" s="7737" t="s">
        <v>22</v>
      </c>
      <c r="K52" s="7744" t="s">
        <v>981</v>
      </c>
      <c r="L52" s="7737" t="s">
        <v>22</v>
      </c>
      <c r="M52" s="7744" t="s">
        <v>22</v>
      </c>
      <c r="N52" s="7737" t="s">
        <v>22</v>
      </c>
      <c r="O52" s="29655" t="s">
        <v>22</v>
      </c>
      <c r="P52" s="29643" t="s">
        <v>22</v>
      </c>
      <c r="Q52" s="7744" t="s">
        <v>22</v>
      </c>
      <c r="R52" s="7737" t="s">
        <v>22</v>
      </c>
      <c r="S52" s="7738"/>
      <c r="T52" s="7730"/>
      <c r="U52" s="7730"/>
      <c r="V52" s="7730"/>
      <c r="W52" s="7730"/>
      <c r="X52" s="7730"/>
      <c r="Y52" s="7730"/>
      <c r="Z52" s="7730"/>
      <c r="AA52" s="7730"/>
      <c r="AB52" s="7730"/>
      <c r="AC52" s="7739"/>
      <c r="AD52" s="7730">
        <v>0</v>
      </c>
    </row>
    <row s="36306" customFormat="1" customHeight="1" ht="15">
      <c r="A53" s="7730"/>
      <c r="B53" s="7731"/>
      <c r="C53" s="7732"/>
      <c r="D53" s="7733" t="str">
        <f>B52&amp;".2"</f>
        <v>3.6.2</v>
      </c>
      <c r="E53" s="7734" t="s">
        <v>964</v>
      </c>
      <c r="F53" s="7735" t="s">
        <v>324</v>
      </c>
      <c r="G53" s="7746" t="s">
        <v>22</v>
      </c>
      <c r="H53" s="7737" t="s">
        <v>22</v>
      </c>
      <c r="I53" s="19680">
        <v>45383</v>
      </c>
      <c r="J53" s="7737" t="s">
        <v>22</v>
      </c>
      <c r="K53" s="10582">
        <v>45383</v>
      </c>
      <c r="L53" s="7737" t="s">
        <v>22</v>
      </c>
      <c r="M53" s="10582" t="s">
        <v>22</v>
      </c>
      <c r="N53" s="7737" t="s">
        <v>22</v>
      </c>
      <c r="O53" s="29660" t="s">
        <v>22</v>
      </c>
      <c r="P53" s="29643" t="s">
        <v>22</v>
      </c>
      <c r="Q53" s="7746" t="s">
        <v>22</v>
      </c>
      <c r="R53" s="7737" t="s">
        <v>22</v>
      </c>
      <c r="S53" s="7738" t="s">
        <v>965</v>
      </c>
      <c r="T53" s="7730"/>
      <c r="U53" s="7730"/>
      <c r="V53" s="7730"/>
      <c r="W53" s="7730"/>
      <c r="X53" s="7730"/>
      <c r="Y53" s="7730"/>
      <c r="Z53" s="7730"/>
      <c r="AA53" s="7730"/>
      <c r="AB53" s="7730"/>
      <c r="AC53" s="7739"/>
      <c r="AD53" s="7730">
        <v>0</v>
      </c>
    </row>
    <row s="36307" customFormat="1" customHeight="1" ht="15">
      <c r="A54" s="7730"/>
      <c r="B54" s="7731"/>
      <c r="C54" s="7732"/>
      <c r="D54" s="7733" t="str">
        <f>B52&amp;".3"</f>
        <v>3.6.3</v>
      </c>
      <c r="E54" s="7734" t="s">
        <v>966</v>
      </c>
      <c r="F54" s="7735" t="s">
        <v>324</v>
      </c>
      <c r="G54" s="7746" t="s">
        <v>22</v>
      </c>
      <c r="H54" s="7737" t="s">
        <v>22</v>
      </c>
      <c r="I54" s="19680" t="s">
        <v>22</v>
      </c>
      <c r="J54" s="7737" t="s">
        <v>22</v>
      </c>
      <c r="K54" s="10582" t="s">
        <v>22</v>
      </c>
      <c r="L54" s="7737" t="s">
        <v>22</v>
      </c>
      <c r="M54" s="7746" t="s">
        <v>22</v>
      </c>
      <c r="N54" s="7737" t="s">
        <v>22</v>
      </c>
      <c r="O54" s="29660" t="s">
        <v>22</v>
      </c>
      <c r="P54" s="29643" t="s">
        <v>22</v>
      </c>
      <c r="Q54" s="7746" t="s">
        <v>22</v>
      </c>
      <c r="R54" s="7737" t="s">
        <v>22</v>
      </c>
      <c r="S54" s="7738" t="s">
        <v>967</v>
      </c>
      <c r="T54" s="7730"/>
      <c r="U54" s="7730"/>
      <c r="V54" s="7730"/>
      <c r="W54" s="7730"/>
      <c r="X54" s="7730"/>
      <c r="Y54" s="7730"/>
      <c r="Z54" s="7730"/>
      <c r="AA54" s="7730"/>
      <c r="AB54" s="7730"/>
      <c r="AC54" s="7739"/>
      <c r="AD54" s="7730">
        <v>0</v>
      </c>
    </row>
    <row s="36308" customFormat="1" customHeight="1" ht="22.5">
      <c r="A55" s="7730"/>
      <c r="B55" s="7731" t="s">
        <v>943</v>
      </c>
      <c r="C55" s="7732" t="s">
        <v>103</v>
      </c>
      <c r="D55" s="7733" t="str">
        <f>B55&amp;".1"</f>
        <v>3.7.1</v>
      </c>
      <c r="E55" s="7734" t="s">
        <v>963</v>
      </c>
      <c r="F55" s="7735" t="s">
        <v>324</v>
      </c>
      <c r="G55" s="7744" t="s">
        <v>22</v>
      </c>
      <c r="H55" s="7737" t="s">
        <v>22</v>
      </c>
      <c r="I55" s="7744" t="s">
        <v>981</v>
      </c>
      <c r="J55" s="7737" t="s">
        <v>22</v>
      </c>
      <c r="K55" s="7744" t="s">
        <v>981</v>
      </c>
      <c r="L55" s="7737" t="s">
        <v>22</v>
      </c>
      <c r="M55" s="7744" t="s">
        <v>22</v>
      </c>
      <c r="N55" s="7737" t="s">
        <v>22</v>
      </c>
      <c r="O55" s="29655" t="s">
        <v>22</v>
      </c>
      <c r="P55" s="29643" t="s">
        <v>22</v>
      </c>
      <c r="Q55" s="7744" t="s">
        <v>22</v>
      </c>
      <c r="R55" s="7737" t="s">
        <v>22</v>
      </c>
      <c r="S55" s="7738"/>
      <c r="T55" s="7730"/>
      <c r="U55" s="7730"/>
      <c r="V55" s="7730"/>
      <c r="W55" s="7730"/>
      <c r="X55" s="7730"/>
      <c r="Y55" s="7730"/>
      <c r="Z55" s="7730"/>
      <c r="AA55" s="7730"/>
      <c r="AB55" s="7730"/>
      <c r="AC55" s="7739"/>
      <c r="AD55" s="7730">
        <v>0</v>
      </c>
    </row>
    <row s="36309" customFormat="1" customHeight="1" ht="15">
      <c r="A56" s="7730"/>
      <c r="B56" s="7731"/>
      <c r="C56" s="7732"/>
      <c r="D56" s="7733" t="str">
        <f>B55&amp;".2"</f>
        <v>3.7.2</v>
      </c>
      <c r="E56" s="7734" t="s">
        <v>964</v>
      </c>
      <c r="F56" s="7735" t="s">
        <v>324</v>
      </c>
      <c r="G56" s="7746" t="s">
        <v>22</v>
      </c>
      <c r="H56" s="7737" t="s">
        <v>22</v>
      </c>
      <c r="I56" s="19680">
        <v>45383</v>
      </c>
      <c r="J56" s="7737" t="s">
        <v>22</v>
      </c>
      <c r="K56" s="10582">
        <v>45383.643541666665</v>
      </c>
      <c r="L56" s="7737" t="s">
        <v>22</v>
      </c>
      <c r="M56" s="7746" t="s">
        <v>22</v>
      </c>
      <c r="N56" s="7737" t="s">
        <v>22</v>
      </c>
      <c r="O56" s="29660" t="s">
        <v>22</v>
      </c>
      <c r="P56" s="29643" t="s">
        <v>22</v>
      </c>
      <c r="Q56" s="7746" t="s">
        <v>22</v>
      </c>
      <c r="R56" s="7737" t="s">
        <v>22</v>
      </c>
      <c r="S56" s="7738" t="s">
        <v>965</v>
      </c>
      <c r="T56" s="7730"/>
      <c r="U56" s="7730"/>
      <c r="V56" s="7730"/>
      <c r="W56" s="7730"/>
      <c r="X56" s="7730"/>
      <c r="Y56" s="7730"/>
      <c r="Z56" s="7730"/>
      <c r="AA56" s="7730"/>
      <c r="AB56" s="7730"/>
      <c r="AC56" s="7739"/>
      <c r="AD56" s="7730">
        <v>0</v>
      </c>
    </row>
    <row s="36310" customFormat="1" customHeight="1" ht="15">
      <c r="A57" s="7730"/>
      <c r="B57" s="7731"/>
      <c r="C57" s="7732"/>
      <c r="D57" s="7733" t="str">
        <f>B55&amp;".3"</f>
        <v>3.7.3</v>
      </c>
      <c r="E57" s="7734" t="s">
        <v>966</v>
      </c>
      <c r="F57" s="7735" t="s">
        <v>324</v>
      </c>
      <c r="G57" s="7746" t="s">
        <v>22</v>
      </c>
      <c r="H57" s="7737" t="s">
        <v>22</v>
      </c>
      <c r="I57" s="19680" t="s">
        <v>22</v>
      </c>
      <c r="J57" s="7737" t="s">
        <v>22</v>
      </c>
      <c r="K57" s="10582" t="s">
        <v>22</v>
      </c>
      <c r="L57" s="7737" t="s">
        <v>22</v>
      </c>
      <c r="M57" s="7746" t="s">
        <v>22</v>
      </c>
      <c r="N57" s="7737" t="s">
        <v>22</v>
      </c>
      <c r="O57" s="29660" t="s">
        <v>22</v>
      </c>
      <c r="P57" s="29643" t="s">
        <v>22</v>
      </c>
      <c r="Q57" s="7746" t="s">
        <v>22</v>
      </c>
      <c r="R57" s="7737" t="s">
        <v>22</v>
      </c>
      <c r="S57" s="7738" t="s">
        <v>967</v>
      </c>
      <c r="T57" s="7730"/>
      <c r="U57" s="7730"/>
      <c r="V57" s="7730"/>
      <c r="W57" s="7730"/>
      <c r="X57" s="7730"/>
      <c r="Y57" s="7730"/>
      <c r="Z57" s="7730"/>
      <c r="AA57" s="7730"/>
      <c r="AB57" s="7730"/>
      <c r="AC57" s="7739"/>
      <c r="AD57" s="7730">
        <v>0</v>
      </c>
    </row>
    <row s="36311" customFormat="1" customHeight="1" ht="22.5">
      <c r="A58" s="7730"/>
      <c r="B58" s="7731" t="s">
        <v>984</v>
      </c>
      <c r="C58" s="7732" t="s">
        <v>103</v>
      </c>
      <c r="D58" s="7733" t="str">
        <f>B58&amp;".1"</f>
        <v>3.8.1</v>
      </c>
      <c r="E58" s="7734" t="s">
        <v>963</v>
      </c>
      <c r="F58" s="7735" t="s">
        <v>324</v>
      </c>
      <c r="G58" s="7744" t="s">
        <v>22</v>
      </c>
      <c r="H58" s="7737" t="s">
        <v>22</v>
      </c>
      <c r="I58" s="7744" t="s">
        <v>981</v>
      </c>
      <c r="J58" s="7737" t="s">
        <v>22</v>
      </c>
      <c r="K58" s="7744" t="s">
        <v>981</v>
      </c>
      <c r="L58" s="7737" t="s">
        <v>22</v>
      </c>
      <c r="M58" s="7744" t="s">
        <v>22</v>
      </c>
      <c r="N58" s="7737" t="s">
        <v>22</v>
      </c>
      <c r="O58" s="29655" t="s">
        <v>22</v>
      </c>
      <c r="P58" s="29643" t="s">
        <v>22</v>
      </c>
      <c r="Q58" s="7744" t="s">
        <v>22</v>
      </c>
      <c r="R58" s="7737" t="s">
        <v>22</v>
      </c>
      <c r="S58" s="7738"/>
      <c r="T58" s="7730"/>
      <c r="U58" s="7730"/>
      <c r="V58" s="7730"/>
      <c r="W58" s="7730"/>
      <c r="X58" s="7730"/>
      <c r="Y58" s="7730"/>
      <c r="Z58" s="7730"/>
      <c r="AA58" s="7730"/>
      <c r="AB58" s="7730"/>
      <c r="AC58" s="7739"/>
      <c r="AD58" s="7730">
        <v>0</v>
      </c>
    </row>
    <row s="36312" customFormat="1" customHeight="1" ht="15">
      <c r="A59" s="7730"/>
      <c r="B59" s="7731"/>
      <c r="C59" s="7732"/>
      <c r="D59" s="7733" t="str">
        <f>B58&amp;".2"</f>
        <v>3.8.2</v>
      </c>
      <c r="E59" s="7734" t="s">
        <v>964</v>
      </c>
      <c r="F59" s="7735" t="s">
        <v>324</v>
      </c>
      <c r="G59" s="7746" t="s">
        <v>22</v>
      </c>
      <c r="H59" s="7737" t="s">
        <v>22</v>
      </c>
      <c r="I59" s="19680">
        <v>45383</v>
      </c>
      <c r="J59" s="7737" t="s">
        <v>22</v>
      </c>
      <c r="K59" s="10582">
        <v>45383.64368055556</v>
      </c>
      <c r="L59" s="7737" t="s">
        <v>22</v>
      </c>
      <c r="M59" s="7746" t="s">
        <v>22</v>
      </c>
      <c r="N59" s="7737" t="s">
        <v>22</v>
      </c>
      <c r="O59" s="29660" t="s">
        <v>22</v>
      </c>
      <c r="P59" s="29643" t="s">
        <v>22</v>
      </c>
      <c r="Q59" s="7746" t="s">
        <v>22</v>
      </c>
      <c r="R59" s="7737" t="s">
        <v>22</v>
      </c>
      <c r="S59" s="7738" t="s">
        <v>965</v>
      </c>
      <c r="T59" s="7730"/>
      <c r="U59" s="7730"/>
      <c r="V59" s="7730"/>
      <c r="W59" s="7730"/>
      <c r="X59" s="7730"/>
      <c r="Y59" s="7730"/>
      <c r="Z59" s="7730"/>
      <c r="AA59" s="7730"/>
      <c r="AB59" s="7730"/>
      <c r="AC59" s="7739"/>
      <c r="AD59" s="7730">
        <v>0</v>
      </c>
    </row>
    <row s="36313" customFormat="1" customHeight="1" ht="15">
      <c r="A60" s="7730"/>
      <c r="B60" s="7731"/>
      <c r="C60" s="7732"/>
      <c r="D60" s="7733" t="str">
        <f>B58&amp;".3"</f>
        <v>3.8.3</v>
      </c>
      <c r="E60" s="7734" t="s">
        <v>966</v>
      </c>
      <c r="F60" s="7735" t="s">
        <v>324</v>
      </c>
      <c r="G60" s="7746" t="s">
        <v>22</v>
      </c>
      <c r="H60" s="7737" t="s">
        <v>22</v>
      </c>
      <c r="I60" s="19680" t="s">
        <v>22</v>
      </c>
      <c r="J60" s="7737" t="s">
        <v>22</v>
      </c>
      <c r="K60" s="10582" t="s">
        <v>22</v>
      </c>
      <c r="L60" s="7737" t="s">
        <v>22</v>
      </c>
      <c r="M60" s="7746" t="s">
        <v>22</v>
      </c>
      <c r="N60" s="7737" t="s">
        <v>22</v>
      </c>
      <c r="O60" s="29660" t="s">
        <v>22</v>
      </c>
      <c r="P60" s="29643" t="s">
        <v>22</v>
      </c>
      <c r="Q60" s="7746" t="s">
        <v>22</v>
      </c>
      <c r="R60" s="7737" t="s">
        <v>22</v>
      </c>
      <c r="S60" s="7738" t="s">
        <v>967</v>
      </c>
      <c r="T60" s="7730"/>
      <c r="U60" s="7730"/>
      <c r="V60" s="7730"/>
      <c r="W60" s="7730"/>
      <c r="X60" s="7730"/>
      <c r="Y60" s="7730"/>
      <c r="Z60" s="7730"/>
      <c r="AA60" s="7730"/>
      <c r="AB60" s="7730"/>
      <c r="AC60" s="7739"/>
      <c r="AD60" s="7730">
        <v>0</v>
      </c>
    </row>
    <row s="36314" customFormat="1" customHeight="1" ht="22.5">
      <c r="A61" s="10603"/>
      <c r="B61" s="10604" t="s">
        <v>985</v>
      </c>
      <c r="C61" s="10605" t="s">
        <v>103</v>
      </c>
      <c r="D61" s="10606" t="str">
        <f>B61&amp;".1"</f>
        <v>3.9.1</v>
      </c>
      <c r="E61" s="10607" t="s">
        <v>963</v>
      </c>
      <c r="F61" s="10608" t="s">
        <v>324</v>
      </c>
      <c r="G61" s="10609" t="s">
        <v>22</v>
      </c>
      <c r="H61" s="10610" t="s">
        <v>22</v>
      </c>
      <c r="I61" s="10609" t="s">
        <v>981</v>
      </c>
      <c r="J61" s="10610" t="s">
        <v>22</v>
      </c>
      <c r="K61" s="10609" t="s">
        <v>981</v>
      </c>
      <c r="L61" s="10610" t="s">
        <v>22</v>
      </c>
      <c r="M61" s="10609" t="s">
        <v>22</v>
      </c>
      <c r="N61" s="10610" t="s">
        <v>22</v>
      </c>
      <c r="O61" s="29692" t="s">
        <v>22</v>
      </c>
      <c r="P61" s="29693" t="s">
        <v>22</v>
      </c>
      <c r="Q61" s="10609" t="s">
        <v>22</v>
      </c>
      <c r="R61" s="10610" t="s">
        <v>22</v>
      </c>
      <c r="S61" s="10611"/>
      <c r="T61" s="10603"/>
      <c r="U61" s="10603"/>
      <c r="V61" s="10603"/>
      <c r="W61" s="10603"/>
      <c r="X61" s="10603"/>
      <c r="Y61" s="10603"/>
      <c r="Z61" s="10603"/>
      <c r="AA61" s="10603"/>
      <c r="AB61" s="10603"/>
      <c r="AC61" s="10612"/>
      <c r="AD61" s="10603">
        <v>0</v>
      </c>
    </row>
    <row s="36327" customFormat="1" customHeight="1" ht="15">
      <c r="A62" s="10603"/>
      <c r="B62" s="10604"/>
      <c r="C62" s="10605"/>
      <c r="D62" s="10606" t="str">
        <f>B61&amp;".2"</f>
        <v>3.9.2</v>
      </c>
      <c r="E62" s="10607" t="s">
        <v>964</v>
      </c>
      <c r="F62" s="10608" t="s">
        <v>324</v>
      </c>
      <c r="G62" s="10582" t="s">
        <v>22</v>
      </c>
      <c r="H62" s="10610" t="s">
        <v>22</v>
      </c>
      <c r="I62" s="19680">
        <v>45383</v>
      </c>
      <c r="J62" s="10610" t="s">
        <v>22</v>
      </c>
      <c r="K62" s="23000">
        <v>45386.64511574074</v>
      </c>
      <c r="L62" s="10610" t="s">
        <v>22</v>
      </c>
      <c r="M62" s="10582" t="s">
        <v>22</v>
      </c>
      <c r="N62" s="10610" t="s">
        <v>22</v>
      </c>
      <c r="O62" s="29697" t="s">
        <v>22</v>
      </c>
      <c r="P62" s="29693" t="s">
        <v>22</v>
      </c>
      <c r="Q62" s="10582" t="s">
        <v>22</v>
      </c>
      <c r="R62" s="10610" t="s">
        <v>22</v>
      </c>
      <c r="S62" s="10611" t="s">
        <v>965</v>
      </c>
      <c r="T62" s="10603"/>
      <c r="U62" s="10603"/>
      <c r="V62" s="10603"/>
      <c r="W62" s="10603"/>
      <c r="X62" s="10603"/>
      <c r="Y62" s="10603"/>
      <c r="Z62" s="10603"/>
      <c r="AA62" s="10603"/>
      <c r="AB62" s="10603"/>
      <c r="AC62" s="10612"/>
      <c r="AD62" s="10603">
        <v>0</v>
      </c>
    </row>
    <row s="36329" customFormat="1" customHeight="1" ht="15">
      <c r="A63" s="10603"/>
      <c r="B63" s="10604"/>
      <c r="C63" s="10605"/>
      <c r="D63" s="10606" t="str">
        <f>B61&amp;".3"</f>
        <v>3.9.3</v>
      </c>
      <c r="E63" s="10607" t="s">
        <v>966</v>
      </c>
      <c r="F63" s="10608" t="s">
        <v>324</v>
      </c>
      <c r="G63" s="10582" t="s">
        <v>22</v>
      </c>
      <c r="H63" s="10610" t="s">
        <v>22</v>
      </c>
      <c r="I63" s="19680" t="s">
        <v>22</v>
      </c>
      <c r="J63" s="10610" t="s">
        <v>22</v>
      </c>
      <c r="K63" s="10582" t="s">
        <v>22</v>
      </c>
      <c r="L63" s="10610" t="s">
        <v>22</v>
      </c>
      <c r="M63" s="10582" t="s">
        <v>22</v>
      </c>
      <c r="N63" s="10610" t="s">
        <v>22</v>
      </c>
      <c r="O63" s="29697" t="s">
        <v>22</v>
      </c>
      <c r="P63" s="29693" t="s">
        <v>22</v>
      </c>
      <c r="Q63" s="10582" t="s">
        <v>22</v>
      </c>
      <c r="R63" s="10610" t="s">
        <v>22</v>
      </c>
      <c r="S63" s="10611" t="s">
        <v>967</v>
      </c>
      <c r="T63" s="10603"/>
      <c r="U63" s="10603"/>
      <c r="V63" s="10603"/>
      <c r="W63" s="10603"/>
      <c r="X63" s="10603"/>
      <c r="Y63" s="10603"/>
      <c r="Z63" s="10603"/>
      <c r="AA63" s="10603"/>
      <c r="AB63" s="10603"/>
      <c r="AC63" s="10612"/>
      <c r="AD63" s="10603">
        <v>0</v>
      </c>
    </row>
    <row s="36330" customFormat="1" customHeight="1" ht="22.5">
      <c r="A64" s="10603"/>
      <c r="B64" s="10604" t="s">
        <v>986</v>
      </c>
      <c r="C64" s="10605" t="s">
        <v>103</v>
      </c>
      <c r="D64" s="10606" t="str">
        <f>B64&amp;".1"</f>
        <v>3.10.1</v>
      </c>
      <c r="E64" s="10607" t="s">
        <v>963</v>
      </c>
      <c r="F64" s="10608" t="s">
        <v>324</v>
      </c>
      <c r="G64" s="10609" t="s">
        <v>22</v>
      </c>
      <c r="H64" s="10610" t="s">
        <v>22</v>
      </c>
      <c r="I64" s="10609" t="s">
        <v>987</v>
      </c>
      <c r="J64" s="10610" t="s">
        <v>22</v>
      </c>
      <c r="K64" s="10609" t="s">
        <v>981</v>
      </c>
      <c r="L64" s="10610" t="s">
        <v>22</v>
      </c>
      <c r="M64" s="10609" t="s">
        <v>22</v>
      </c>
      <c r="N64" s="10610" t="s">
        <v>22</v>
      </c>
      <c r="O64" s="29692" t="s">
        <v>22</v>
      </c>
      <c r="P64" s="29693" t="s">
        <v>22</v>
      </c>
      <c r="Q64" s="10609" t="s">
        <v>22</v>
      </c>
      <c r="R64" s="10610" t="s">
        <v>22</v>
      </c>
      <c r="S64" s="10611"/>
      <c r="T64" s="10603"/>
      <c r="U64" s="10603"/>
      <c r="V64" s="10603"/>
      <c r="W64" s="10603"/>
      <c r="X64" s="10603"/>
      <c r="Y64" s="10603"/>
      <c r="Z64" s="10603"/>
      <c r="AA64" s="10603"/>
      <c r="AB64" s="10603"/>
      <c r="AC64" s="10612"/>
      <c r="AD64" s="10603">
        <v>0</v>
      </c>
    </row>
    <row s="36331" customFormat="1" customHeight="1" ht="15">
      <c r="A65" s="10603"/>
      <c r="B65" s="10604"/>
      <c r="C65" s="10605"/>
      <c r="D65" s="10606" t="str">
        <f>B64&amp;".2"</f>
        <v>3.10.2</v>
      </c>
      <c r="E65" s="10607" t="s">
        <v>964</v>
      </c>
      <c r="F65" s="10608" t="s">
        <v>324</v>
      </c>
      <c r="G65" s="10582" t="s">
        <v>22</v>
      </c>
      <c r="H65" s="10610" t="s">
        <v>22</v>
      </c>
      <c r="I65" s="19680">
        <v>45383</v>
      </c>
      <c r="J65" s="10610" t="s">
        <v>22</v>
      </c>
      <c r="K65" s="23000">
        <v>45390.64545138889</v>
      </c>
      <c r="L65" s="10610" t="s">
        <v>22</v>
      </c>
      <c r="M65" s="10582" t="s">
        <v>22</v>
      </c>
      <c r="N65" s="10610" t="s">
        <v>22</v>
      </c>
      <c r="O65" s="29697" t="s">
        <v>22</v>
      </c>
      <c r="P65" s="29693" t="s">
        <v>22</v>
      </c>
      <c r="Q65" s="10582" t="s">
        <v>22</v>
      </c>
      <c r="R65" s="10610" t="s">
        <v>22</v>
      </c>
      <c r="S65" s="10611" t="s">
        <v>965</v>
      </c>
      <c r="T65" s="10603"/>
      <c r="U65" s="10603"/>
      <c r="V65" s="10603"/>
      <c r="W65" s="10603"/>
      <c r="X65" s="10603"/>
      <c r="Y65" s="10603"/>
      <c r="Z65" s="10603"/>
      <c r="AA65" s="10603"/>
      <c r="AB65" s="10603"/>
      <c r="AC65" s="10612"/>
      <c r="AD65" s="10603">
        <v>0</v>
      </c>
    </row>
    <row s="36332" customFormat="1" customHeight="1" ht="15">
      <c r="A66" s="10603"/>
      <c r="B66" s="10604"/>
      <c r="C66" s="10605"/>
      <c r="D66" s="10606" t="str">
        <f>B64&amp;".3"</f>
        <v>3.10.3</v>
      </c>
      <c r="E66" s="10607" t="s">
        <v>966</v>
      </c>
      <c r="F66" s="10608" t="s">
        <v>324</v>
      </c>
      <c r="G66" s="10582" t="s">
        <v>22</v>
      </c>
      <c r="H66" s="10610" t="s">
        <v>22</v>
      </c>
      <c r="I66" s="19680" t="s">
        <v>22</v>
      </c>
      <c r="J66" s="10610" t="s">
        <v>22</v>
      </c>
      <c r="K66" s="10582" t="s">
        <v>22</v>
      </c>
      <c r="L66" s="10610" t="s">
        <v>22</v>
      </c>
      <c r="M66" s="10582" t="s">
        <v>22</v>
      </c>
      <c r="N66" s="10610" t="s">
        <v>22</v>
      </c>
      <c r="O66" s="29697" t="s">
        <v>22</v>
      </c>
      <c r="P66" s="29693" t="s">
        <v>22</v>
      </c>
      <c r="Q66" s="10582" t="s">
        <v>22</v>
      </c>
      <c r="R66" s="10610" t="s">
        <v>22</v>
      </c>
      <c r="S66" s="10611" t="s">
        <v>967</v>
      </c>
      <c r="T66" s="10603"/>
      <c r="U66" s="10603"/>
      <c r="V66" s="10603"/>
      <c r="W66" s="10603"/>
      <c r="X66" s="10603"/>
      <c r="Y66" s="10603"/>
      <c r="Z66" s="10603"/>
      <c r="AA66" s="10603"/>
      <c r="AB66" s="10603"/>
      <c r="AC66" s="10612"/>
      <c r="AD66" s="10603">
        <v>0</v>
      </c>
    </row>
    <row s="36333" customFormat="1" customHeight="1" ht="22.5">
      <c r="A67" s="10603"/>
      <c r="B67" s="10604" t="s">
        <v>988</v>
      </c>
      <c r="C67" s="10605" t="s">
        <v>103</v>
      </c>
      <c r="D67" s="10606" t="str">
        <f>B67&amp;".1"</f>
        <v>3.11.1</v>
      </c>
      <c r="E67" s="10607" t="s">
        <v>963</v>
      </c>
      <c r="F67" s="10608" t="s">
        <v>324</v>
      </c>
      <c r="G67" s="10609" t="s">
        <v>22</v>
      </c>
      <c r="H67" s="10610" t="s">
        <v>22</v>
      </c>
      <c r="I67" s="10609" t="s">
        <v>987</v>
      </c>
      <c r="J67" s="10610" t="s">
        <v>22</v>
      </c>
      <c r="K67" s="10609" t="s">
        <v>981</v>
      </c>
      <c r="L67" s="10610" t="s">
        <v>22</v>
      </c>
      <c r="M67" s="10609" t="s">
        <v>22</v>
      </c>
      <c r="N67" s="10610" t="s">
        <v>22</v>
      </c>
      <c r="O67" s="29692" t="s">
        <v>22</v>
      </c>
      <c r="P67" s="29693" t="s">
        <v>22</v>
      </c>
      <c r="Q67" s="10609" t="s">
        <v>22</v>
      </c>
      <c r="R67" s="10610" t="s">
        <v>22</v>
      </c>
      <c r="S67" s="10611"/>
      <c r="T67" s="10603"/>
      <c r="U67" s="10603"/>
      <c r="V67" s="10603"/>
      <c r="W67" s="10603"/>
      <c r="X67" s="10603"/>
      <c r="Y67" s="10603"/>
      <c r="Z67" s="10603"/>
      <c r="AA67" s="10603"/>
      <c r="AB67" s="10603"/>
      <c r="AC67" s="10612"/>
      <c r="AD67" s="10603">
        <v>0</v>
      </c>
    </row>
    <row s="36334" customFormat="1" customHeight="1" ht="15">
      <c r="A68" s="10603"/>
      <c r="B68" s="10604"/>
      <c r="C68" s="10605"/>
      <c r="D68" s="10606" t="str">
        <f>B67&amp;".2"</f>
        <v>3.11.2</v>
      </c>
      <c r="E68" s="10607" t="s">
        <v>964</v>
      </c>
      <c r="F68" s="10608" t="s">
        <v>324</v>
      </c>
      <c r="G68" s="10582" t="s">
        <v>22</v>
      </c>
      <c r="H68" s="10610" t="s">
        <v>22</v>
      </c>
      <c r="I68" s="19680">
        <v>45383</v>
      </c>
      <c r="J68" s="10610" t="s">
        <v>22</v>
      </c>
      <c r="K68" s="10582">
        <v>45390.64648148148</v>
      </c>
      <c r="L68" s="10610" t="s">
        <v>22</v>
      </c>
      <c r="M68" s="10582" t="s">
        <v>22</v>
      </c>
      <c r="N68" s="10610" t="s">
        <v>22</v>
      </c>
      <c r="O68" s="29697" t="s">
        <v>22</v>
      </c>
      <c r="P68" s="29693" t="s">
        <v>22</v>
      </c>
      <c r="Q68" s="10582" t="s">
        <v>22</v>
      </c>
      <c r="R68" s="10610" t="s">
        <v>22</v>
      </c>
      <c r="S68" s="10611" t="s">
        <v>965</v>
      </c>
      <c r="T68" s="10603"/>
      <c r="U68" s="10603"/>
      <c r="V68" s="10603"/>
      <c r="W68" s="10603"/>
      <c r="X68" s="10603"/>
      <c r="Y68" s="10603"/>
      <c r="Z68" s="10603"/>
      <c r="AA68" s="10603"/>
      <c r="AB68" s="10603"/>
      <c r="AC68" s="10612"/>
      <c r="AD68" s="10603">
        <v>0</v>
      </c>
    </row>
    <row s="36335" customFormat="1" customHeight="1" ht="15">
      <c r="A69" s="10603"/>
      <c r="B69" s="10604"/>
      <c r="C69" s="10605"/>
      <c r="D69" s="10606" t="str">
        <f>B67&amp;".3"</f>
        <v>3.11.3</v>
      </c>
      <c r="E69" s="10607" t="s">
        <v>966</v>
      </c>
      <c r="F69" s="10608" t="s">
        <v>324</v>
      </c>
      <c r="G69" s="10582" t="s">
        <v>22</v>
      </c>
      <c r="H69" s="10610" t="s">
        <v>22</v>
      </c>
      <c r="I69" s="19680" t="s">
        <v>22</v>
      </c>
      <c r="J69" s="10610" t="s">
        <v>22</v>
      </c>
      <c r="K69" s="10582" t="s">
        <v>22</v>
      </c>
      <c r="L69" s="10610" t="s">
        <v>22</v>
      </c>
      <c r="M69" s="10582" t="s">
        <v>22</v>
      </c>
      <c r="N69" s="10610" t="s">
        <v>22</v>
      </c>
      <c r="O69" s="29697" t="s">
        <v>22</v>
      </c>
      <c r="P69" s="29693" t="s">
        <v>22</v>
      </c>
      <c r="Q69" s="10582" t="s">
        <v>22</v>
      </c>
      <c r="R69" s="10610" t="s">
        <v>22</v>
      </c>
      <c r="S69" s="10611" t="s">
        <v>967</v>
      </c>
      <c r="T69" s="10603"/>
      <c r="U69" s="10603"/>
      <c r="V69" s="10603"/>
      <c r="W69" s="10603"/>
      <c r="X69" s="10603"/>
      <c r="Y69" s="10603"/>
      <c r="Z69" s="10603"/>
      <c r="AA69" s="10603"/>
      <c r="AB69" s="10603"/>
      <c r="AC69" s="10612"/>
      <c r="AD69" s="10603">
        <v>0</v>
      </c>
    </row>
    <row s="36336" customFormat="1" customHeight="1" ht="22.5">
      <c r="A70" s="10603"/>
      <c r="B70" s="10604" t="s">
        <v>989</v>
      </c>
      <c r="C70" s="10605" t="s">
        <v>103</v>
      </c>
      <c r="D70" s="10606" t="str">
        <f>B70&amp;".1"</f>
        <v>3.12.1</v>
      </c>
      <c r="E70" s="10607" t="s">
        <v>963</v>
      </c>
      <c r="F70" s="10608" t="s">
        <v>324</v>
      </c>
      <c r="G70" s="10609" t="s">
        <v>22</v>
      </c>
      <c r="H70" s="10610" t="s">
        <v>22</v>
      </c>
      <c r="I70" s="10609" t="s">
        <v>981</v>
      </c>
      <c r="J70" s="10610" t="s">
        <v>22</v>
      </c>
      <c r="K70" s="10609" t="s">
        <v>981</v>
      </c>
      <c r="L70" s="10610" t="s">
        <v>22</v>
      </c>
      <c r="M70" s="10609" t="s">
        <v>22</v>
      </c>
      <c r="N70" s="10610" t="s">
        <v>22</v>
      </c>
      <c r="O70" s="29692" t="s">
        <v>22</v>
      </c>
      <c r="P70" s="29693" t="s">
        <v>22</v>
      </c>
      <c r="Q70" s="10609" t="s">
        <v>22</v>
      </c>
      <c r="R70" s="10610" t="s">
        <v>22</v>
      </c>
      <c r="S70" s="10611"/>
      <c r="T70" s="10603"/>
      <c r="U70" s="10603"/>
      <c r="V70" s="10603"/>
      <c r="W70" s="10603"/>
      <c r="X70" s="10603"/>
      <c r="Y70" s="10603"/>
      <c r="Z70" s="10603"/>
      <c r="AA70" s="10603"/>
      <c r="AB70" s="10603"/>
      <c r="AC70" s="10612"/>
      <c r="AD70" s="10603">
        <v>0</v>
      </c>
    </row>
    <row s="36337" customFormat="1" customHeight="1" ht="15">
      <c r="A71" s="10603"/>
      <c r="B71" s="10604"/>
      <c r="C71" s="10605"/>
      <c r="D71" s="10606" t="str">
        <f>B70&amp;".2"</f>
        <v>3.12.2</v>
      </c>
      <c r="E71" s="10607" t="s">
        <v>964</v>
      </c>
      <c r="F71" s="10608" t="s">
        <v>324</v>
      </c>
      <c r="G71" s="10582" t="s">
        <v>22</v>
      </c>
      <c r="H71" s="10610" t="s">
        <v>22</v>
      </c>
      <c r="I71" s="19680">
        <v>45383</v>
      </c>
      <c r="J71" s="10610" t="s">
        <v>22</v>
      </c>
      <c r="K71" s="23000">
        <v>45392.646782407406</v>
      </c>
      <c r="L71" s="10610" t="s">
        <v>22</v>
      </c>
      <c r="M71" s="10582" t="s">
        <v>22</v>
      </c>
      <c r="N71" s="10610" t="s">
        <v>22</v>
      </c>
      <c r="O71" s="29697" t="s">
        <v>22</v>
      </c>
      <c r="P71" s="29693" t="s">
        <v>22</v>
      </c>
      <c r="Q71" s="10582" t="s">
        <v>22</v>
      </c>
      <c r="R71" s="10610" t="s">
        <v>22</v>
      </c>
      <c r="S71" s="10611" t="s">
        <v>965</v>
      </c>
      <c r="T71" s="10603"/>
      <c r="U71" s="10603"/>
      <c r="V71" s="10603"/>
      <c r="W71" s="10603"/>
      <c r="X71" s="10603"/>
      <c r="Y71" s="10603"/>
      <c r="Z71" s="10603"/>
      <c r="AA71" s="10603"/>
      <c r="AB71" s="10603"/>
      <c r="AC71" s="10612"/>
      <c r="AD71" s="10603">
        <v>0</v>
      </c>
    </row>
    <row s="36338" customFormat="1" customHeight="1" ht="15">
      <c r="A72" s="10603"/>
      <c r="B72" s="10604"/>
      <c r="C72" s="10605"/>
      <c r="D72" s="10606" t="str">
        <f>B70&amp;".3"</f>
        <v>3.12.3</v>
      </c>
      <c r="E72" s="10607" t="s">
        <v>966</v>
      </c>
      <c r="F72" s="10608" t="s">
        <v>324</v>
      </c>
      <c r="G72" s="10582" t="s">
        <v>22</v>
      </c>
      <c r="H72" s="10610" t="s">
        <v>22</v>
      </c>
      <c r="I72" s="19680" t="s">
        <v>22</v>
      </c>
      <c r="J72" s="10610" t="s">
        <v>22</v>
      </c>
      <c r="K72" s="10582" t="s">
        <v>22</v>
      </c>
      <c r="L72" s="10610" t="s">
        <v>22</v>
      </c>
      <c r="M72" s="10582" t="s">
        <v>22</v>
      </c>
      <c r="N72" s="10610" t="s">
        <v>22</v>
      </c>
      <c r="O72" s="29697" t="s">
        <v>22</v>
      </c>
      <c r="P72" s="29693" t="s">
        <v>22</v>
      </c>
      <c r="Q72" s="10582" t="s">
        <v>22</v>
      </c>
      <c r="R72" s="10610" t="s">
        <v>22</v>
      </c>
      <c r="S72" s="10611" t="s">
        <v>967</v>
      </c>
      <c r="T72" s="10603"/>
      <c r="U72" s="10603"/>
      <c r="V72" s="10603"/>
      <c r="W72" s="10603"/>
      <c r="X72" s="10603"/>
      <c r="Y72" s="10603"/>
      <c r="Z72" s="10603"/>
      <c r="AA72" s="10603"/>
      <c r="AB72" s="10603"/>
      <c r="AC72" s="10612"/>
      <c r="AD72" s="10603">
        <v>0</v>
      </c>
    </row>
    <row s="36339" customFormat="1" customHeight="1" ht="22.5">
      <c r="A73" s="10603"/>
      <c r="B73" s="10604" t="s">
        <v>990</v>
      </c>
      <c r="C73" s="10605" t="s">
        <v>103</v>
      </c>
      <c r="D73" s="10606" t="str">
        <f>B73&amp;".1"</f>
        <v>3.13.1</v>
      </c>
      <c r="E73" s="10607" t="s">
        <v>963</v>
      </c>
      <c r="F73" s="10608" t="s">
        <v>324</v>
      </c>
      <c r="G73" s="10609" t="s">
        <v>22</v>
      </c>
      <c r="H73" s="10610" t="s">
        <v>22</v>
      </c>
      <c r="I73" s="10609" t="s">
        <v>987</v>
      </c>
      <c r="J73" s="10610" t="s">
        <v>22</v>
      </c>
      <c r="K73" s="10609" t="s">
        <v>981</v>
      </c>
      <c r="L73" s="10610" t="s">
        <v>22</v>
      </c>
      <c r="M73" s="10609" t="s">
        <v>22</v>
      </c>
      <c r="N73" s="10610" t="s">
        <v>22</v>
      </c>
      <c r="O73" s="29692" t="s">
        <v>22</v>
      </c>
      <c r="P73" s="29693" t="s">
        <v>22</v>
      </c>
      <c r="Q73" s="10609" t="s">
        <v>22</v>
      </c>
      <c r="R73" s="10610" t="s">
        <v>22</v>
      </c>
      <c r="S73" s="10611"/>
      <c r="T73" s="10603"/>
      <c r="U73" s="10603"/>
      <c r="V73" s="10603"/>
      <c r="W73" s="10603"/>
      <c r="X73" s="10603"/>
      <c r="Y73" s="10603"/>
      <c r="Z73" s="10603"/>
      <c r="AA73" s="10603"/>
      <c r="AB73" s="10603"/>
      <c r="AC73" s="10612"/>
      <c r="AD73" s="10603">
        <v>0</v>
      </c>
    </row>
    <row s="36340" customFormat="1" customHeight="1" ht="15">
      <c r="A74" s="10603"/>
      <c r="B74" s="10604"/>
      <c r="C74" s="10605"/>
      <c r="D74" s="10606" t="str">
        <f>B73&amp;".2"</f>
        <v>3.13.2</v>
      </c>
      <c r="E74" s="10607" t="s">
        <v>964</v>
      </c>
      <c r="F74" s="10608" t="s">
        <v>324</v>
      </c>
      <c r="G74" s="10582" t="s">
        <v>22</v>
      </c>
      <c r="H74" s="10610" t="s">
        <v>22</v>
      </c>
      <c r="I74" s="19680">
        <v>45383</v>
      </c>
      <c r="J74" s="10610" t="s">
        <v>22</v>
      </c>
      <c r="K74" s="10582">
        <v>45392</v>
      </c>
      <c r="L74" s="10610" t="s">
        <v>22</v>
      </c>
      <c r="M74" s="10582" t="s">
        <v>22</v>
      </c>
      <c r="N74" s="10610" t="s">
        <v>22</v>
      </c>
      <c r="O74" s="29697" t="s">
        <v>22</v>
      </c>
      <c r="P74" s="29693" t="s">
        <v>22</v>
      </c>
      <c r="Q74" s="10582" t="s">
        <v>22</v>
      </c>
      <c r="R74" s="10610" t="s">
        <v>22</v>
      </c>
      <c r="S74" s="10611" t="s">
        <v>965</v>
      </c>
      <c r="T74" s="10603"/>
      <c r="U74" s="10603"/>
      <c r="V74" s="10603"/>
      <c r="W74" s="10603"/>
      <c r="X74" s="10603"/>
      <c r="Y74" s="10603"/>
      <c r="Z74" s="10603"/>
      <c r="AA74" s="10603"/>
      <c r="AB74" s="10603"/>
      <c r="AC74" s="10612"/>
      <c r="AD74" s="10603">
        <v>0</v>
      </c>
    </row>
    <row s="36341" customFormat="1" customHeight="1" ht="15">
      <c r="A75" s="10603"/>
      <c r="B75" s="10604"/>
      <c r="C75" s="10605"/>
      <c r="D75" s="10606" t="str">
        <f>B73&amp;".3"</f>
        <v>3.13.3</v>
      </c>
      <c r="E75" s="10607" t="s">
        <v>966</v>
      </c>
      <c r="F75" s="10608" t="s">
        <v>324</v>
      </c>
      <c r="G75" s="10582" t="s">
        <v>22</v>
      </c>
      <c r="H75" s="10610" t="s">
        <v>22</v>
      </c>
      <c r="I75" s="19680" t="s">
        <v>22</v>
      </c>
      <c r="J75" s="10610" t="s">
        <v>22</v>
      </c>
      <c r="K75" s="10582" t="s">
        <v>22</v>
      </c>
      <c r="L75" s="10610" t="s">
        <v>22</v>
      </c>
      <c r="M75" s="10582" t="s">
        <v>22</v>
      </c>
      <c r="N75" s="10610" t="s">
        <v>22</v>
      </c>
      <c r="O75" s="29697" t="s">
        <v>22</v>
      </c>
      <c r="P75" s="29693" t="s">
        <v>22</v>
      </c>
      <c r="Q75" s="10582" t="s">
        <v>22</v>
      </c>
      <c r="R75" s="10610" t="s">
        <v>22</v>
      </c>
      <c r="S75" s="10611" t="s">
        <v>967</v>
      </c>
      <c r="T75" s="10603"/>
      <c r="U75" s="10603"/>
      <c r="V75" s="10603"/>
      <c r="W75" s="10603"/>
      <c r="X75" s="10603"/>
      <c r="Y75" s="10603"/>
      <c r="Z75" s="10603"/>
      <c r="AA75" s="10603"/>
      <c r="AB75" s="10603"/>
      <c r="AC75" s="10612"/>
      <c r="AD75" s="10603">
        <v>0</v>
      </c>
    </row>
    <row s="36342" customFormat="1" customHeight="1" ht="22.5">
      <c r="A76" s="10603"/>
      <c r="B76" s="10604" t="s">
        <v>991</v>
      </c>
      <c r="C76" s="10605" t="s">
        <v>103</v>
      </c>
      <c r="D76" s="10606" t="str">
        <f>B76&amp;".1"</f>
        <v>3.14.1</v>
      </c>
      <c r="E76" s="10607" t="s">
        <v>963</v>
      </c>
      <c r="F76" s="10608" t="s">
        <v>324</v>
      </c>
      <c r="G76" s="10609" t="s">
        <v>22</v>
      </c>
      <c r="H76" s="10610" t="s">
        <v>22</v>
      </c>
      <c r="I76" s="10609" t="s">
        <v>987</v>
      </c>
      <c r="J76" s="10610" t="s">
        <v>22</v>
      </c>
      <c r="K76" s="10609" t="s">
        <v>981</v>
      </c>
      <c r="L76" s="10610" t="s">
        <v>22</v>
      </c>
      <c r="M76" s="10609" t="s">
        <v>22</v>
      </c>
      <c r="N76" s="10610" t="s">
        <v>22</v>
      </c>
      <c r="O76" s="29692" t="s">
        <v>22</v>
      </c>
      <c r="P76" s="29693" t="s">
        <v>22</v>
      </c>
      <c r="Q76" s="10609" t="s">
        <v>22</v>
      </c>
      <c r="R76" s="10610" t="s">
        <v>22</v>
      </c>
      <c r="S76" s="10611"/>
      <c r="T76" s="10603"/>
      <c r="U76" s="10603"/>
      <c r="V76" s="10603"/>
      <c r="W76" s="10603"/>
      <c r="X76" s="10603"/>
      <c r="Y76" s="10603"/>
      <c r="Z76" s="10603"/>
      <c r="AA76" s="10603"/>
      <c r="AB76" s="10603"/>
      <c r="AC76" s="10612"/>
      <c r="AD76" s="10603">
        <v>0</v>
      </c>
    </row>
    <row s="36343" customFormat="1" customHeight="1" ht="15">
      <c r="A77" s="10603"/>
      <c r="B77" s="10604"/>
      <c r="C77" s="10605"/>
      <c r="D77" s="10606" t="str">
        <f>B76&amp;".2"</f>
        <v>3.14.2</v>
      </c>
      <c r="E77" s="10607" t="s">
        <v>964</v>
      </c>
      <c r="F77" s="10608" t="s">
        <v>324</v>
      </c>
      <c r="G77" s="10582" t="s">
        <v>22</v>
      </c>
      <c r="H77" s="10610" t="s">
        <v>22</v>
      </c>
      <c r="I77" s="19680">
        <v>45383</v>
      </c>
      <c r="J77" s="10610" t="s">
        <v>22</v>
      </c>
      <c r="K77" s="10582">
        <v>45392.64787037037</v>
      </c>
      <c r="L77" s="10610" t="s">
        <v>22</v>
      </c>
      <c r="M77" s="10582" t="s">
        <v>22</v>
      </c>
      <c r="N77" s="10610" t="s">
        <v>22</v>
      </c>
      <c r="O77" s="29697" t="s">
        <v>22</v>
      </c>
      <c r="P77" s="29693" t="s">
        <v>22</v>
      </c>
      <c r="Q77" s="10582" t="s">
        <v>22</v>
      </c>
      <c r="R77" s="10610" t="s">
        <v>22</v>
      </c>
      <c r="S77" s="10611" t="s">
        <v>965</v>
      </c>
      <c r="T77" s="10603"/>
      <c r="U77" s="10603"/>
      <c r="V77" s="10603"/>
      <c r="W77" s="10603"/>
      <c r="X77" s="10603"/>
      <c r="Y77" s="10603"/>
      <c r="Z77" s="10603"/>
      <c r="AA77" s="10603"/>
      <c r="AB77" s="10603"/>
      <c r="AC77" s="10612"/>
      <c r="AD77" s="10603">
        <v>0</v>
      </c>
    </row>
    <row s="36344" customFormat="1" customHeight="1" ht="15">
      <c r="A78" s="10603"/>
      <c r="B78" s="10604"/>
      <c r="C78" s="10605"/>
      <c r="D78" s="10606" t="str">
        <f>B76&amp;".3"</f>
        <v>3.14.3</v>
      </c>
      <c r="E78" s="10607" t="s">
        <v>966</v>
      </c>
      <c r="F78" s="10608" t="s">
        <v>324</v>
      </c>
      <c r="G78" s="10582" t="s">
        <v>22</v>
      </c>
      <c r="H78" s="10610" t="s">
        <v>22</v>
      </c>
      <c r="I78" s="19680" t="s">
        <v>22</v>
      </c>
      <c r="J78" s="10610" t="s">
        <v>22</v>
      </c>
      <c r="K78" s="10582" t="s">
        <v>22</v>
      </c>
      <c r="L78" s="10610" t="s">
        <v>22</v>
      </c>
      <c r="M78" s="10582" t="s">
        <v>22</v>
      </c>
      <c r="N78" s="10610" t="s">
        <v>22</v>
      </c>
      <c r="O78" s="29697" t="s">
        <v>22</v>
      </c>
      <c r="P78" s="29693" t="s">
        <v>22</v>
      </c>
      <c r="Q78" s="10582" t="s">
        <v>22</v>
      </c>
      <c r="R78" s="10610" t="s">
        <v>22</v>
      </c>
      <c r="S78" s="10611" t="s">
        <v>967</v>
      </c>
      <c r="T78" s="10603"/>
      <c r="U78" s="10603"/>
      <c r="V78" s="10603"/>
      <c r="W78" s="10603"/>
      <c r="X78" s="10603"/>
      <c r="Y78" s="10603"/>
      <c r="Z78" s="10603"/>
      <c r="AA78" s="10603"/>
      <c r="AB78" s="10603"/>
      <c r="AC78" s="10612"/>
      <c r="AD78" s="10603">
        <v>0</v>
      </c>
    </row>
    <row s="36345" customFormat="1" customHeight="1" ht="22.5">
      <c r="A79" s="10603"/>
      <c r="B79" s="10604" t="s">
        <v>992</v>
      </c>
      <c r="C79" s="10605" t="s">
        <v>103</v>
      </c>
      <c r="D79" s="10606" t="str">
        <f>B79&amp;".1"</f>
        <v>3.15.1</v>
      </c>
      <c r="E79" s="10607" t="s">
        <v>963</v>
      </c>
      <c r="F79" s="10608" t="s">
        <v>324</v>
      </c>
      <c r="G79" s="10609" t="s">
        <v>22</v>
      </c>
      <c r="H79" s="10610" t="s">
        <v>22</v>
      </c>
      <c r="I79" s="10609" t="s">
        <v>987</v>
      </c>
      <c r="J79" s="10610" t="s">
        <v>22</v>
      </c>
      <c r="K79" s="10609" t="s">
        <v>981</v>
      </c>
      <c r="L79" s="10610" t="s">
        <v>22</v>
      </c>
      <c r="M79" s="10609" t="s">
        <v>22</v>
      </c>
      <c r="N79" s="10610" t="s">
        <v>22</v>
      </c>
      <c r="O79" s="29692" t="s">
        <v>22</v>
      </c>
      <c r="P79" s="29693" t="s">
        <v>22</v>
      </c>
      <c r="Q79" s="10609" t="s">
        <v>22</v>
      </c>
      <c r="R79" s="10610" t="s">
        <v>22</v>
      </c>
      <c r="S79" s="10611"/>
      <c r="T79" s="10603"/>
      <c r="U79" s="10603"/>
      <c r="V79" s="10603"/>
      <c r="W79" s="10603"/>
      <c r="X79" s="10603"/>
      <c r="Y79" s="10603"/>
      <c r="Z79" s="10603"/>
      <c r="AA79" s="10603"/>
      <c r="AB79" s="10603"/>
      <c r="AC79" s="10612"/>
      <c r="AD79" s="10603">
        <v>0</v>
      </c>
    </row>
    <row s="36346" customFormat="1" customHeight="1" ht="15">
      <c r="A80" s="10603"/>
      <c r="B80" s="10604"/>
      <c r="C80" s="10605"/>
      <c r="D80" s="10606" t="str">
        <f>B79&amp;".2"</f>
        <v>3.15.2</v>
      </c>
      <c r="E80" s="10607" t="s">
        <v>964</v>
      </c>
      <c r="F80" s="10608" t="s">
        <v>324</v>
      </c>
      <c r="G80" s="10582" t="s">
        <v>22</v>
      </c>
      <c r="H80" s="10610" t="s">
        <v>22</v>
      </c>
      <c r="I80" s="19680">
        <v>45383</v>
      </c>
      <c r="J80" s="10610" t="s">
        <v>22</v>
      </c>
      <c r="K80" s="10582">
        <v>45392.64803240741</v>
      </c>
      <c r="L80" s="10610" t="s">
        <v>22</v>
      </c>
      <c r="M80" s="10582" t="s">
        <v>22</v>
      </c>
      <c r="N80" s="10610" t="s">
        <v>22</v>
      </c>
      <c r="O80" s="29697" t="s">
        <v>22</v>
      </c>
      <c r="P80" s="29693" t="s">
        <v>22</v>
      </c>
      <c r="Q80" s="10582" t="s">
        <v>22</v>
      </c>
      <c r="R80" s="10610" t="s">
        <v>22</v>
      </c>
      <c r="S80" s="10611" t="s">
        <v>965</v>
      </c>
      <c r="T80" s="10603"/>
      <c r="U80" s="10603"/>
      <c r="V80" s="10603"/>
      <c r="W80" s="10603"/>
      <c r="X80" s="10603"/>
      <c r="Y80" s="10603"/>
      <c r="Z80" s="10603"/>
      <c r="AA80" s="10603"/>
      <c r="AB80" s="10603"/>
      <c r="AC80" s="10612"/>
      <c r="AD80" s="10603">
        <v>0</v>
      </c>
    </row>
    <row s="36347" customFormat="1" customHeight="1" ht="15">
      <c r="A81" s="10603"/>
      <c r="B81" s="10604"/>
      <c r="C81" s="10605"/>
      <c r="D81" s="10606" t="str">
        <f>B79&amp;".3"</f>
        <v>3.15.3</v>
      </c>
      <c r="E81" s="10607" t="s">
        <v>966</v>
      </c>
      <c r="F81" s="10608" t="s">
        <v>324</v>
      </c>
      <c r="G81" s="10582" t="s">
        <v>22</v>
      </c>
      <c r="H81" s="10610" t="s">
        <v>22</v>
      </c>
      <c r="I81" s="19680" t="s">
        <v>22</v>
      </c>
      <c r="J81" s="10610" t="s">
        <v>22</v>
      </c>
      <c r="K81" s="10582" t="s">
        <v>22</v>
      </c>
      <c r="L81" s="10610" t="s">
        <v>22</v>
      </c>
      <c r="M81" s="10582" t="s">
        <v>22</v>
      </c>
      <c r="N81" s="10610" t="s">
        <v>22</v>
      </c>
      <c r="O81" s="29697" t="s">
        <v>22</v>
      </c>
      <c r="P81" s="29693" t="s">
        <v>22</v>
      </c>
      <c r="Q81" s="10582" t="s">
        <v>22</v>
      </c>
      <c r="R81" s="10610" t="s">
        <v>22</v>
      </c>
      <c r="S81" s="10611" t="s">
        <v>967</v>
      </c>
      <c r="T81" s="10603"/>
      <c r="U81" s="10603"/>
      <c r="V81" s="10603"/>
      <c r="W81" s="10603"/>
      <c r="X81" s="10603"/>
      <c r="Y81" s="10603"/>
      <c r="Z81" s="10603"/>
      <c r="AA81" s="10603"/>
      <c r="AB81" s="10603"/>
      <c r="AC81" s="10612"/>
      <c r="AD81" s="10603">
        <v>0</v>
      </c>
    </row>
    <row s="36348" customFormat="1" customHeight="1" ht="22.5">
      <c r="A82" s="10603"/>
      <c r="B82" s="10604" t="s">
        <v>993</v>
      </c>
      <c r="C82" s="10605" t="s">
        <v>103</v>
      </c>
      <c r="D82" s="10606" t="str">
        <f>B82&amp;".1"</f>
        <v>3.16.1</v>
      </c>
      <c r="E82" s="10607" t="s">
        <v>963</v>
      </c>
      <c r="F82" s="10608" t="s">
        <v>324</v>
      </c>
      <c r="G82" s="10609" t="s">
        <v>22</v>
      </c>
      <c r="H82" s="10610" t="s">
        <v>22</v>
      </c>
      <c r="I82" s="10609" t="s">
        <v>981</v>
      </c>
      <c r="J82" s="10610" t="s">
        <v>22</v>
      </c>
      <c r="K82" s="10609" t="s">
        <v>981</v>
      </c>
      <c r="L82" s="10610" t="s">
        <v>22</v>
      </c>
      <c r="M82" s="10609" t="s">
        <v>22</v>
      </c>
      <c r="N82" s="10610" t="s">
        <v>22</v>
      </c>
      <c r="O82" s="29692" t="s">
        <v>22</v>
      </c>
      <c r="P82" s="29693" t="s">
        <v>22</v>
      </c>
      <c r="Q82" s="10609" t="s">
        <v>22</v>
      </c>
      <c r="R82" s="10610" t="s">
        <v>22</v>
      </c>
      <c r="S82" s="10611"/>
      <c r="T82" s="10603"/>
      <c r="U82" s="10603"/>
      <c r="V82" s="10603"/>
      <c r="W82" s="10603"/>
      <c r="X82" s="10603"/>
      <c r="Y82" s="10603"/>
      <c r="Z82" s="10603"/>
      <c r="AA82" s="10603"/>
      <c r="AB82" s="10603"/>
      <c r="AC82" s="10612"/>
      <c r="AD82" s="10603">
        <v>0</v>
      </c>
    </row>
    <row s="36349" customFormat="1" customHeight="1" ht="15">
      <c r="A83" s="10603"/>
      <c r="B83" s="10604"/>
      <c r="C83" s="10605"/>
      <c r="D83" s="10606" t="str">
        <f>B82&amp;".2"</f>
        <v>3.16.2</v>
      </c>
      <c r="E83" s="10607" t="s">
        <v>964</v>
      </c>
      <c r="F83" s="10608" t="s">
        <v>324</v>
      </c>
      <c r="G83" s="10582" t="s">
        <v>22</v>
      </c>
      <c r="H83" s="10610" t="s">
        <v>22</v>
      </c>
      <c r="I83" s="19680">
        <v>45383</v>
      </c>
      <c r="J83" s="10610" t="s">
        <v>22</v>
      </c>
      <c r="K83" s="23000">
        <v>45393.64810185185</v>
      </c>
      <c r="L83" s="10610" t="s">
        <v>22</v>
      </c>
      <c r="M83" s="10582" t="s">
        <v>22</v>
      </c>
      <c r="N83" s="10610" t="s">
        <v>22</v>
      </c>
      <c r="O83" s="29697" t="s">
        <v>22</v>
      </c>
      <c r="P83" s="29693" t="s">
        <v>22</v>
      </c>
      <c r="Q83" s="10582" t="s">
        <v>22</v>
      </c>
      <c r="R83" s="10610" t="s">
        <v>22</v>
      </c>
      <c r="S83" s="10611" t="s">
        <v>965</v>
      </c>
      <c r="T83" s="10603"/>
      <c r="U83" s="10603"/>
      <c r="V83" s="10603"/>
      <c r="W83" s="10603"/>
      <c r="X83" s="10603"/>
      <c r="Y83" s="10603"/>
      <c r="Z83" s="10603"/>
      <c r="AA83" s="10603"/>
      <c r="AB83" s="10603"/>
      <c r="AC83" s="10612"/>
      <c r="AD83" s="10603">
        <v>0</v>
      </c>
    </row>
    <row s="36350" customFormat="1" customHeight="1" ht="15">
      <c r="A84" s="10603"/>
      <c r="B84" s="10604"/>
      <c r="C84" s="10605"/>
      <c r="D84" s="10606" t="str">
        <f>B82&amp;".3"</f>
        <v>3.16.3</v>
      </c>
      <c r="E84" s="10607" t="s">
        <v>966</v>
      </c>
      <c r="F84" s="10608" t="s">
        <v>324</v>
      </c>
      <c r="G84" s="10582" t="s">
        <v>22</v>
      </c>
      <c r="H84" s="10610" t="s">
        <v>22</v>
      </c>
      <c r="I84" s="19680" t="s">
        <v>22</v>
      </c>
      <c r="J84" s="10610" t="s">
        <v>22</v>
      </c>
      <c r="K84" s="10582" t="s">
        <v>22</v>
      </c>
      <c r="L84" s="10610" t="s">
        <v>22</v>
      </c>
      <c r="M84" s="10582" t="s">
        <v>22</v>
      </c>
      <c r="N84" s="10610" t="s">
        <v>22</v>
      </c>
      <c r="O84" s="29697" t="s">
        <v>22</v>
      </c>
      <c r="P84" s="29693" t="s">
        <v>22</v>
      </c>
      <c r="Q84" s="10582" t="s">
        <v>22</v>
      </c>
      <c r="R84" s="10610" t="s">
        <v>22</v>
      </c>
      <c r="S84" s="10611" t="s">
        <v>967</v>
      </c>
      <c r="T84" s="10603"/>
      <c r="U84" s="10603"/>
      <c r="V84" s="10603"/>
      <c r="W84" s="10603"/>
      <c r="X84" s="10603"/>
      <c r="Y84" s="10603"/>
      <c r="Z84" s="10603"/>
      <c r="AA84" s="10603"/>
      <c r="AB84" s="10603"/>
      <c r="AC84" s="10612"/>
      <c r="AD84" s="10603">
        <v>0</v>
      </c>
    </row>
    <row s="36351" customFormat="1" customHeight="1" ht="22.5">
      <c r="A85" s="10603"/>
      <c r="B85" s="10604" t="s">
        <v>994</v>
      </c>
      <c r="C85" s="10605" t="s">
        <v>103</v>
      </c>
      <c r="D85" s="10606" t="str">
        <f>B85&amp;".1"</f>
        <v>3.17.1</v>
      </c>
      <c r="E85" s="10607" t="s">
        <v>963</v>
      </c>
      <c r="F85" s="10608" t="s">
        <v>324</v>
      </c>
      <c r="G85" s="10609" t="s">
        <v>22</v>
      </c>
      <c r="H85" s="10610" t="s">
        <v>22</v>
      </c>
      <c r="I85" s="10609" t="s">
        <v>981</v>
      </c>
      <c r="J85" s="10610" t="s">
        <v>22</v>
      </c>
      <c r="K85" s="10609" t="s">
        <v>981</v>
      </c>
      <c r="L85" s="10610" t="s">
        <v>22</v>
      </c>
      <c r="M85" s="10609" t="s">
        <v>22</v>
      </c>
      <c r="N85" s="10610" t="s">
        <v>22</v>
      </c>
      <c r="O85" s="29692" t="s">
        <v>22</v>
      </c>
      <c r="P85" s="29693" t="s">
        <v>22</v>
      </c>
      <c r="Q85" s="10609" t="s">
        <v>22</v>
      </c>
      <c r="R85" s="10610" t="s">
        <v>22</v>
      </c>
      <c r="S85" s="10611"/>
      <c r="T85" s="10603"/>
      <c r="U85" s="10603"/>
      <c r="V85" s="10603"/>
      <c r="W85" s="10603"/>
      <c r="X85" s="10603"/>
      <c r="Y85" s="10603"/>
      <c r="Z85" s="10603"/>
      <c r="AA85" s="10603"/>
      <c r="AB85" s="10603"/>
      <c r="AC85" s="10612"/>
      <c r="AD85" s="10603">
        <v>0</v>
      </c>
    </row>
    <row s="36352" customFormat="1" customHeight="1" ht="15">
      <c r="A86" s="10603"/>
      <c r="B86" s="10604"/>
      <c r="C86" s="10605"/>
      <c r="D86" s="10606" t="str">
        <f>B85&amp;".2"</f>
        <v>3.17.2</v>
      </c>
      <c r="E86" s="10607" t="s">
        <v>964</v>
      </c>
      <c r="F86" s="10608" t="s">
        <v>324</v>
      </c>
      <c r="G86" s="10582" t="s">
        <v>22</v>
      </c>
      <c r="H86" s="10610" t="s">
        <v>22</v>
      </c>
      <c r="I86" s="16577">
        <v>45383</v>
      </c>
      <c r="J86" s="10610" t="s">
        <v>22</v>
      </c>
      <c r="K86" s="10582">
        <v>45393</v>
      </c>
      <c r="L86" s="10610" t="s">
        <v>22</v>
      </c>
      <c r="M86" s="10582" t="s">
        <v>22</v>
      </c>
      <c r="N86" s="10610" t="s">
        <v>22</v>
      </c>
      <c r="O86" s="29697" t="s">
        <v>22</v>
      </c>
      <c r="P86" s="29693" t="s">
        <v>22</v>
      </c>
      <c r="Q86" s="10582" t="s">
        <v>22</v>
      </c>
      <c r="R86" s="10610" t="s">
        <v>22</v>
      </c>
      <c r="S86" s="10611" t="s">
        <v>965</v>
      </c>
      <c r="T86" s="10603"/>
      <c r="U86" s="10603"/>
      <c r="V86" s="10603"/>
      <c r="W86" s="10603"/>
      <c r="X86" s="10603"/>
      <c r="Y86" s="10603"/>
      <c r="Z86" s="10603"/>
      <c r="AA86" s="10603"/>
      <c r="AB86" s="10603"/>
      <c r="AC86" s="10612"/>
      <c r="AD86" s="10603">
        <v>0</v>
      </c>
    </row>
    <row s="36353" customFormat="1" customHeight="1" ht="15">
      <c r="A87" s="10603"/>
      <c r="B87" s="10604"/>
      <c r="C87" s="10605"/>
      <c r="D87" s="10606" t="str">
        <f>B85&amp;".3"</f>
        <v>3.17.3</v>
      </c>
      <c r="E87" s="10607" t="s">
        <v>966</v>
      </c>
      <c r="F87" s="10608" t="s">
        <v>324</v>
      </c>
      <c r="G87" s="10582" t="s">
        <v>22</v>
      </c>
      <c r="H87" s="10610" t="s">
        <v>22</v>
      </c>
      <c r="I87" s="16577" t="s">
        <v>22</v>
      </c>
      <c r="J87" s="10610" t="s">
        <v>22</v>
      </c>
      <c r="K87" s="10582" t="s">
        <v>22</v>
      </c>
      <c r="L87" s="10610" t="s">
        <v>22</v>
      </c>
      <c r="M87" s="10582" t="s">
        <v>22</v>
      </c>
      <c r="N87" s="10610" t="s">
        <v>22</v>
      </c>
      <c r="O87" s="29697" t="s">
        <v>22</v>
      </c>
      <c r="P87" s="29693" t="s">
        <v>22</v>
      </c>
      <c r="Q87" s="10582" t="s">
        <v>22</v>
      </c>
      <c r="R87" s="10610" t="s">
        <v>22</v>
      </c>
      <c r="S87" s="10611" t="s">
        <v>967</v>
      </c>
      <c r="T87" s="10603"/>
      <c r="U87" s="10603"/>
      <c r="V87" s="10603"/>
      <c r="W87" s="10603"/>
      <c r="X87" s="10603"/>
      <c r="Y87" s="10603"/>
      <c r="Z87" s="10603"/>
      <c r="AA87" s="10603"/>
      <c r="AB87" s="10603"/>
      <c r="AC87" s="10612"/>
      <c r="AD87" s="10603">
        <v>0</v>
      </c>
    </row>
    <row s="36354" customFormat="1" customHeight="1" ht="22.5">
      <c r="A88" s="10603"/>
      <c r="B88" s="10604" t="s">
        <v>995</v>
      </c>
      <c r="C88" s="10605" t="s">
        <v>103</v>
      </c>
      <c r="D88" s="10606" t="str">
        <f>B88&amp;".1"</f>
        <v>3.18.1</v>
      </c>
      <c r="E88" s="10607" t="s">
        <v>963</v>
      </c>
      <c r="F88" s="10608" t="s">
        <v>324</v>
      </c>
      <c r="G88" s="10609" t="s">
        <v>22</v>
      </c>
      <c r="H88" s="10610" t="s">
        <v>22</v>
      </c>
      <c r="I88" s="10609" t="s">
        <v>981</v>
      </c>
      <c r="J88" s="10610" t="s">
        <v>22</v>
      </c>
      <c r="K88" s="10609" t="s">
        <v>981</v>
      </c>
      <c r="L88" s="10610" t="s">
        <v>22</v>
      </c>
      <c r="M88" s="10609" t="s">
        <v>22</v>
      </c>
      <c r="N88" s="10610" t="s">
        <v>22</v>
      </c>
      <c r="O88" s="29692" t="s">
        <v>22</v>
      </c>
      <c r="P88" s="29693" t="s">
        <v>22</v>
      </c>
      <c r="Q88" s="10609" t="s">
        <v>22</v>
      </c>
      <c r="R88" s="10610" t="s">
        <v>22</v>
      </c>
      <c r="S88" s="10611"/>
      <c r="T88" s="10603"/>
      <c r="U88" s="10603"/>
      <c r="V88" s="10603"/>
      <c r="W88" s="10603"/>
      <c r="X88" s="10603"/>
      <c r="Y88" s="10603"/>
      <c r="Z88" s="10603"/>
      <c r="AA88" s="10603"/>
      <c r="AB88" s="10603"/>
      <c r="AC88" s="10612"/>
      <c r="AD88" s="10603">
        <v>0</v>
      </c>
    </row>
    <row s="36355" customFormat="1" customHeight="1" ht="15">
      <c r="A89" s="10603"/>
      <c r="B89" s="10604"/>
      <c r="C89" s="10605"/>
      <c r="D89" s="10606" t="str">
        <f>B88&amp;".2"</f>
        <v>3.18.2</v>
      </c>
      <c r="E89" s="10607" t="s">
        <v>964</v>
      </c>
      <c r="F89" s="10608" t="s">
        <v>324</v>
      </c>
      <c r="G89" s="10582" t="s">
        <v>22</v>
      </c>
      <c r="H89" s="10610" t="s">
        <v>22</v>
      </c>
      <c r="I89" s="16577">
        <v>45383</v>
      </c>
      <c r="J89" s="10610" t="s">
        <v>22</v>
      </c>
      <c r="K89" s="23000">
        <v>45397.64869212963</v>
      </c>
      <c r="L89" s="10610" t="s">
        <v>22</v>
      </c>
      <c r="M89" s="10582" t="s">
        <v>22</v>
      </c>
      <c r="N89" s="10610" t="s">
        <v>22</v>
      </c>
      <c r="O89" s="29697" t="s">
        <v>22</v>
      </c>
      <c r="P89" s="29693" t="s">
        <v>22</v>
      </c>
      <c r="Q89" s="10582" t="s">
        <v>22</v>
      </c>
      <c r="R89" s="10610" t="s">
        <v>22</v>
      </c>
      <c r="S89" s="10611" t="s">
        <v>965</v>
      </c>
      <c r="T89" s="10603"/>
      <c r="U89" s="10603"/>
      <c r="V89" s="10603"/>
      <c r="W89" s="10603"/>
      <c r="X89" s="10603"/>
      <c r="Y89" s="10603"/>
      <c r="Z89" s="10603"/>
      <c r="AA89" s="10603"/>
      <c r="AB89" s="10603"/>
      <c r="AC89" s="10612"/>
      <c r="AD89" s="10603">
        <v>0</v>
      </c>
    </row>
    <row s="36356" customFormat="1" customHeight="1" ht="15">
      <c r="A90" s="10603"/>
      <c r="B90" s="10604"/>
      <c r="C90" s="10605"/>
      <c r="D90" s="10606" t="str">
        <f>B88&amp;".3"</f>
        <v>3.18.3</v>
      </c>
      <c r="E90" s="10607" t="s">
        <v>966</v>
      </c>
      <c r="F90" s="10608" t="s">
        <v>324</v>
      </c>
      <c r="G90" s="10582" t="s">
        <v>22</v>
      </c>
      <c r="H90" s="10610" t="s">
        <v>22</v>
      </c>
      <c r="I90" s="16577" t="s">
        <v>22</v>
      </c>
      <c r="J90" s="10610" t="s">
        <v>22</v>
      </c>
      <c r="K90" s="10582" t="s">
        <v>22</v>
      </c>
      <c r="L90" s="10610" t="s">
        <v>22</v>
      </c>
      <c r="M90" s="10582" t="s">
        <v>22</v>
      </c>
      <c r="N90" s="10610" t="s">
        <v>22</v>
      </c>
      <c r="O90" s="29697" t="s">
        <v>22</v>
      </c>
      <c r="P90" s="29693" t="s">
        <v>22</v>
      </c>
      <c r="Q90" s="10582" t="s">
        <v>22</v>
      </c>
      <c r="R90" s="10610" t="s">
        <v>22</v>
      </c>
      <c r="S90" s="10611" t="s">
        <v>967</v>
      </c>
      <c r="T90" s="10603"/>
      <c r="U90" s="10603"/>
      <c r="V90" s="10603"/>
      <c r="W90" s="10603"/>
      <c r="X90" s="10603"/>
      <c r="Y90" s="10603"/>
      <c r="Z90" s="10603"/>
      <c r="AA90" s="10603"/>
      <c r="AB90" s="10603"/>
      <c r="AC90" s="10612"/>
      <c r="AD90" s="10603">
        <v>0</v>
      </c>
    </row>
    <row s="36357" customFormat="1" customHeight="1" ht="22.5">
      <c r="A91" s="10603"/>
      <c r="B91" s="10604" t="s">
        <v>996</v>
      </c>
      <c r="C91" s="10605" t="s">
        <v>103</v>
      </c>
      <c r="D91" s="10606" t="str">
        <f>B91&amp;".1"</f>
        <v>3.19.1</v>
      </c>
      <c r="E91" s="10607" t="s">
        <v>963</v>
      </c>
      <c r="F91" s="10608" t="s">
        <v>324</v>
      </c>
      <c r="G91" s="10609" t="s">
        <v>22</v>
      </c>
      <c r="H91" s="10610" t="s">
        <v>22</v>
      </c>
      <c r="I91" s="10609" t="s">
        <v>981</v>
      </c>
      <c r="J91" s="10610" t="s">
        <v>22</v>
      </c>
      <c r="K91" s="10609" t="s">
        <v>981</v>
      </c>
      <c r="L91" s="10610" t="s">
        <v>22</v>
      </c>
      <c r="M91" s="10609" t="s">
        <v>22</v>
      </c>
      <c r="N91" s="10610" t="s">
        <v>22</v>
      </c>
      <c r="O91" s="29692" t="s">
        <v>22</v>
      </c>
      <c r="P91" s="29693" t="s">
        <v>22</v>
      </c>
      <c r="Q91" s="10609" t="s">
        <v>22</v>
      </c>
      <c r="R91" s="10610" t="s">
        <v>22</v>
      </c>
      <c r="S91" s="10611"/>
      <c r="T91" s="10603"/>
      <c r="U91" s="10603"/>
      <c r="V91" s="10603"/>
      <c r="W91" s="10603"/>
      <c r="X91" s="10603"/>
      <c r="Y91" s="10603"/>
      <c r="Z91" s="10603"/>
      <c r="AA91" s="10603"/>
      <c r="AB91" s="10603"/>
      <c r="AC91" s="10612"/>
      <c r="AD91" s="10603">
        <v>0</v>
      </c>
    </row>
    <row s="36358" customFormat="1" customHeight="1" ht="15">
      <c r="A92" s="10603"/>
      <c r="B92" s="10604"/>
      <c r="C92" s="10605"/>
      <c r="D92" s="10606" t="str">
        <f>B91&amp;".2"</f>
        <v>3.19.2</v>
      </c>
      <c r="E92" s="10607" t="s">
        <v>964</v>
      </c>
      <c r="F92" s="10608" t="s">
        <v>324</v>
      </c>
      <c r="G92" s="10582" t="s">
        <v>22</v>
      </c>
      <c r="H92" s="10610" t="s">
        <v>22</v>
      </c>
      <c r="I92" s="16577">
        <v>45383</v>
      </c>
      <c r="J92" s="10610" t="s">
        <v>22</v>
      </c>
      <c r="K92" s="10582">
        <v>45397.651979166665</v>
      </c>
      <c r="L92" s="10610" t="s">
        <v>22</v>
      </c>
      <c r="M92" s="10582" t="s">
        <v>22</v>
      </c>
      <c r="N92" s="10610" t="s">
        <v>22</v>
      </c>
      <c r="O92" s="29697" t="s">
        <v>22</v>
      </c>
      <c r="P92" s="29693" t="s">
        <v>22</v>
      </c>
      <c r="Q92" s="10582" t="s">
        <v>22</v>
      </c>
      <c r="R92" s="10610" t="s">
        <v>22</v>
      </c>
      <c r="S92" s="10611" t="s">
        <v>965</v>
      </c>
      <c r="T92" s="10603"/>
      <c r="U92" s="10603"/>
      <c r="V92" s="10603"/>
      <c r="W92" s="10603"/>
      <c r="X92" s="10603"/>
      <c r="Y92" s="10603"/>
      <c r="Z92" s="10603"/>
      <c r="AA92" s="10603"/>
      <c r="AB92" s="10603"/>
      <c r="AC92" s="10612"/>
      <c r="AD92" s="10603">
        <v>0</v>
      </c>
    </row>
    <row s="36359" customFormat="1" customHeight="1" ht="15">
      <c r="A93" s="10603"/>
      <c r="B93" s="10604"/>
      <c r="C93" s="10605"/>
      <c r="D93" s="10606" t="str">
        <f>B91&amp;".3"</f>
        <v>3.19.3</v>
      </c>
      <c r="E93" s="10607" t="s">
        <v>966</v>
      </c>
      <c r="F93" s="10608" t="s">
        <v>324</v>
      </c>
      <c r="G93" s="10582" t="s">
        <v>22</v>
      </c>
      <c r="H93" s="10610" t="s">
        <v>22</v>
      </c>
      <c r="I93" s="16577" t="s">
        <v>22</v>
      </c>
      <c r="J93" s="10610" t="s">
        <v>22</v>
      </c>
      <c r="K93" s="10582" t="s">
        <v>22</v>
      </c>
      <c r="L93" s="10610" t="s">
        <v>22</v>
      </c>
      <c r="M93" s="10582" t="s">
        <v>22</v>
      </c>
      <c r="N93" s="10610" t="s">
        <v>22</v>
      </c>
      <c r="O93" s="29697" t="s">
        <v>22</v>
      </c>
      <c r="P93" s="29693" t="s">
        <v>22</v>
      </c>
      <c r="Q93" s="10582" t="s">
        <v>22</v>
      </c>
      <c r="R93" s="10610" t="s">
        <v>22</v>
      </c>
      <c r="S93" s="10611" t="s">
        <v>967</v>
      </c>
      <c r="T93" s="10603"/>
      <c r="U93" s="10603"/>
      <c r="V93" s="10603"/>
      <c r="W93" s="10603"/>
      <c r="X93" s="10603"/>
      <c r="Y93" s="10603"/>
      <c r="Z93" s="10603"/>
      <c r="AA93" s="10603"/>
      <c r="AB93" s="10603"/>
      <c r="AC93" s="10612"/>
      <c r="AD93" s="10603">
        <v>0</v>
      </c>
    </row>
    <row s="36360" customFormat="1" customHeight="1" ht="22.5">
      <c r="A94" s="10603"/>
      <c r="B94" s="10604" t="s">
        <v>997</v>
      </c>
      <c r="C94" s="10605" t="s">
        <v>103</v>
      </c>
      <c r="D94" s="10606" t="str">
        <f>B94&amp;".1"</f>
        <v>3.20.1</v>
      </c>
      <c r="E94" s="10607" t="s">
        <v>963</v>
      </c>
      <c r="F94" s="10608" t="s">
        <v>324</v>
      </c>
      <c r="G94" s="10609" t="s">
        <v>22</v>
      </c>
      <c r="H94" s="10610" t="s">
        <v>22</v>
      </c>
      <c r="I94" s="10609" t="s">
        <v>981</v>
      </c>
      <c r="J94" s="10610" t="s">
        <v>22</v>
      </c>
      <c r="K94" s="10609" t="s">
        <v>981</v>
      </c>
      <c r="L94" s="10610" t="s">
        <v>22</v>
      </c>
      <c r="M94" s="10609" t="s">
        <v>22</v>
      </c>
      <c r="N94" s="10610" t="s">
        <v>22</v>
      </c>
      <c r="O94" s="29692" t="s">
        <v>22</v>
      </c>
      <c r="P94" s="29693" t="s">
        <v>22</v>
      </c>
      <c r="Q94" s="10609" t="s">
        <v>22</v>
      </c>
      <c r="R94" s="10610" t="s">
        <v>22</v>
      </c>
      <c r="S94" s="10611"/>
      <c r="T94" s="10603"/>
      <c r="U94" s="10603"/>
      <c r="V94" s="10603"/>
      <c r="W94" s="10603"/>
      <c r="X94" s="10603"/>
      <c r="Y94" s="10603"/>
      <c r="Z94" s="10603"/>
      <c r="AA94" s="10603"/>
      <c r="AB94" s="10603"/>
      <c r="AC94" s="10612"/>
      <c r="AD94" s="10603">
        <v>0</v>
      </c>
    </row>
    <row s="36361" customFormat="1" customHeight="1" ht="15">
      <c r="A95" s="10603"/>
      <c r="B95" s="10604"/>
      <c r="C95" s="10605"/>
      <c r="D95" s="10606" t="str">
        <f>B94&amp;".2"</f>
        <v>3.20.2</v>
      </c>
      <c r="E95" s="10607" t="s">
        <v>964</v>
      </c>
      <c r="F95" s="10608" t="s">
        <v>324</v>
      </c>
      <c r="G95" s="10582" t="s">
        <v>22</v>
      </c>
      <c r="H95" s="10610" t="s">
        <v>22</v>
      </c>
      <c r="I95" s="16577">
        <v>45383</v>
      </c>
      <c r="J95" s="10610" t="s">
        <v>22</v>
      </c>
      <c r="K95" s="10582">
        <v>45397.652083333334</v>
      </c>
      <c r="L95" s="10610" t="s">
        <v>22</v>
      </c>
      <c r="M95" s="10582" t="s">
        <v>22</v>
      </c>
      <c r="N95" s="10610" t="s">
        <v>22</v>
      </c>
      <c r="O95" s="29697" t="s">
        <v>22</v>
      </c>
      <c r="P95" s="29693" t="s">
        <v>22</v>
      </c>
      <c r="Q95" s="10582" t="s">
        <v>22</v>
      </c>
      <c r="R95" s="10610" t="s">
        <v>22</v>
      </c>
      <c r="S95" s="10611" t="s">
        <v>965</v>
      </c>
      <c r="T95" s="10603"/>
      <c r="U95" s="10603"/>
      <c r="V95" s="10603"/>
      <c r="W95" s="10603"/>
      <c r="X95" s="10603"/>
      <c r="Y95" s="10603"/>
      <c r="Z95" s="10603"/>
      <c r="AA95" s="10603"/>
      <c r="AB95" s="10603"/>
      <c r="AC95" s="10612"/>
      <c r="AD95" s="10603">
        <v>0</v>
      </c>
    </row>
    <row s="36362" customFormat="1" customHeight="1" ht="15">
      <c r="A96" s="10603"/>
      <c r="B96" s="10604"/>
      <c r="C96" s="10605"/>
      <c r="D96" s="10606" t="str">
        <f>B94&amp;".3"</f>
        <v>3.20.3</v>
      </c>
      <c r="E96" s="10607" t="s">
        <v>966</v>
      </c>
      <c r="F96" s="10608" t="s">
        <v>324</v>
      </c>
      <c r="G96" s="10582" t="s">
        <v>22</v>
      </c>
      <c r="H96" s="10610" t="s">
        <v>22</v>
      </c>
      <c r="I96" s="16577" t="s">
        <v>22</v>
      </c>
      <c r="J96" s="10610" t="s">
        <v>22</v>
      </c>
      <c r="K96" s="10582" t="s">
        <v>22</v>
      </c>
      <c r="L96" s="10610" t="s">
        <v>22</v>
      </c>
      <c r="M96" s="10582" t="s">
        <v>22</v>
      </c>
      <c r="N96" s="10610" t="s">
        <v>22</v>
      </c>
      <c r="O96" s="29697" t="s">
        <v>22</v>
      </c>
      <c r="P96" s="29693" t="s">
        <v>22</v>
      </c>
      <c r="Q96" s="10582" t="s">
        <v>22</v>
      </c>
      <c r="R96" s="10610" t="s">
        <v>22</v>
      </c>
      <c r="S96" s="10611" t="s">
        <v>967</v>
      </c>
      <c r="T96" s="10603"/>
      <c r="U96" s="10603"/>
      <c r="V96" s="10603"/>
      <c r="W96" s="10603"/>
      <c r="X96" s="10603"/>
      <c r="Y96" s="10603"/>
      <c r="Z96" s="10603"/>
      <c r="AA96" s="10603"/>
      <c r="AB96" s="10603"/>
      <c r="AC96" s="10612"/>
      <c r="AD96" s="10603">
        <v>0</v>
      </c>
    </row>
    <row s="36363" customFormat="1" customHeight="1" ht="22.5">
      <c r="A97" s="10603"/>
      <c r="B97" s="10604" t="s">
        <v>998</v>
      </c>
      <c r="C97" s="10605" t="s">
        <v>103</v>
      </c>
      <c r="D97" s="10606" t="str">
        <f>B97&amp;".1"</f>
        <v>3.21.1</v>
      </c>
      <c r="E97" s="10607" t="s">
        <v>963</v>
      </c>
      <c r="F97" s="10608" t="s">
        <v>324</v>
      </c>
      <c r="G97" s="10609" t="s">
        <v>22</v>
      </c>
      <c r="H97" s="10610" t="s">
        <v>22</v>
      </c>
      <c r="I97" s="10609" t="s">
        <v>981</v>
      </c>
      <c r="J97" s="10610" t="s">
        <v>22</v>
      </c>
      <c r="K97" s="10609" t="s">
        <v>981</v>
      </c>
      <c r="L97" s="10610" t="s">
        <v>22</v>
      </c>
      <c r="M97" s="10609" t="s">
        <v>22</v>
      </c>
      <c r="N97" s="10610" t="s">
        <v>22</v>
      </c>
      <c r="O97" s="29692" t="s">
        <v>22</v>
      </c>
      <c r="P97" s="29693" t="s">
        <v>22</v>
      </c>
      <c r="Q97" s="10609" t="s">
        <v>22</v>
      </c>
      <c r="R97" s="10610" t="s">
        <v>22</v>
      </c>
      <c r="S97" s="10611"/>
      <c r="T97" s="10603"/>
      <c r="U97" s="10603"/>
      <c r="V97" s="10603"/>
      <c r="W97" s="10603"/>
      <c r="X97" s="10603"/>
      <c r="Y97" s="10603"/>
      <c r="Z97" s="10603"/>
      <c r="AA97" s="10603"/>
      <c r="AB97" s="10603"/>
      <c r="AC97" s="10612"/>
      <c r="AD97" s="10603">
        <v>0</v>
      </c>
    </row>
    <row s="36364" customFormat="1" customHeight="1" ht="15">
      <c r="A98" s="10603"/>
      <c r="B98" s="10604"/>
      <c r="C98" s="10605"/>
      <c r="D98" s="10606" t="str">
        <f>B97&amp;".2"</f>
        <v>3.21.2</v>
      </c>
      <c r="E98" s="10607" t="s">
        <v>964</v>
      </c>
      <c r="F98" s="10608" t="s">
        <v>324</v>
      </c>
      <c r="G98" s="10582" t="s">
        <v>22</v>
      </c>
      <c r="H98" s="10610" t="s">
        <v>22</v>
      </c>
      <c r="I98" s="19680">
        <v>45383</v>
      </c>
      <c r="J98" s="10610" t="s">
        <v>22</v>
      </c>
      <c r="K98" s="10582">
        <v>45397.65216435185</v>
      </c>
      <c r="L98" s="10610" t="s">
        <v>22</v>
      </c>
      <c r="M98" s="10582" t="s">
        <v>22</v>
      </c>
      <c r="N98" s="10610" t="s">
        <v>22</v>
      </c>
      <c r="O98" s="29697" t="s">
        <v>22</v>
      </c>
      <c r="P98" s="29693" t="s">
        <v>22</v>
      </c>
      <c r="Q98" s="10582" t="s">
        <v>22</v>
      </c>
      <c r="R98" s="10610" t="s">
        <v>22</v>
      </c>
      <c r="S98" s="10611" t="s">
        <v>965</v>
      </c>
      <c r="T98" s="10603"/>
      <c r="U98" s="10603"/>
      <c r="V98" s="10603"/>
      <c r="W98" s="10603"/>
      <c r="X98" s="10603"/>
      <c r="Y98" s="10603"/>
      <c r="Z98" s="10603"/>
      <c r="AA98" s="10603"/>
      <c r="AB98" s="10603"/>
      <c r="AC98" s="10612"/>
      <c r="AD98" s="10603">
        <v>0</v>
      </c>
    </row>
    <row s="36365" customFormat="1" customHeight="1" ht="15">
      <c r="A99" s="10603"/>
      <c r="B99" s="10604"/>
      <c r="C99" s="10605"/>
      <c r="D99" s="10606" t="str">
        <f>B97&amp;".3"</f>
        <v>3.21.3</v>
      </c>
      <c r="E99" s="10607" t="s">
        <v>966</v>
      </c>
      <c r="F99" s="10608" t="s">
        <v>324</v>
      </c>
      <c r="G99" s="10582" t="s">
        <v>22</v>
      </c>
      <c r="H99" s="10610" t="s">
        <v>22</v>
      </c>
      <c r="I99" s="19680" t="s">
        <v>22</v>
      </c>
      <c r="J99" s="10610" t="s">
        <v>22</v>
      </c>
      <c r="K99" s="10582" t="s">
        <v>22</v>
      </c>
      <c r="L99" s="10610" t="s">
        <v>22</v>
      </c>
      <c r="M99" s="10582" t="s">
        <v>22</v>
      </c>
      <c r="N99" s="10610" t="s">
        <v>22</v>
      </c>
      <c r="O99" s="29697" t="s">
        <v>22</v>
      </c>
      <c r="P99" s="29693" t="s">
        <v>22</v>
      </c>
      <c r="Q99" s="10582" t="s">
        <v>22</v>
      </c>
      <c r="R99" s="10610" t="s">
        <v>22</v>
      </c>
      <c r="S99" s="10611" t="s">
        <v>967</v>
      </c>
      <c r="T99" s="10603"/>
      <c r="U99" s="10603"/>
      <c r="V99" s="10603"/>
      <c r="W99" s="10603"/>
      <c r="X99" s="10603"/>
      <c r="Y99" s="10603"/>
      <c r="Z99" s="10603"/>
      <c r="AA99" s="10603"/>
      <c r="AB99" s="10603"/>
      <c r="AC99" s="10612"/>
      <c r="AD99" s="10603">
        <v>0</v>
      </c>
    </row>
    <row s="36366" customFormat="1" customHeight="1" ht="22.5">
      <c r="A100" s="10603"/>
      <c r="B100" s="10604" t="s">
        <v>999</v>
      </c>
      <c r="C100" s="10605" t="s">
        <v>103</v>
      </c>
      <c r="D100" s="10606" t="str">
        <f>B100&amp;".1"</f>
        <v>3.22.1</v>
      </c>
      <c r="E100" s="10607" t="s">
        <v>963</v>
      </c>
      <c r="F100" s="10608" t="s">
        <v>324</v>
      </c>
      <c r="G100" s="10609" t="s">
        <v>22</v>
      </c>
      <c r="H100" s="10610" t="s">
        <v>22</v>
      </c>
      <c r="I100" s="10609" t="s">
        <v>981</v>
      </c>
      <c r="J100" s="10610" t="s">
        <v>22</v>
      </c>
      <c r="K100" s="10609" t="s">
        <v>981</v>
      </c>
      <c r="L100" s="10610" t="s">
        <v>22</v>
      </c>
      <c r="M100" s="10609" t="s">
        <v>22</v>
      </c>
      <c r="N100" s="10610" t="s">
        <v>22</v>
      </c>
      <c r="O100" s="29692" t="s">
        <v>22</v>
      </c>
      <c r="P100" s="29693" t="s">
        <v>22</v>
      </c>
      <c r="Q100" s="10609" t="s">
        <v>22</v>
      </c>
      <c r="R100" s="10610" t="s">
        <v>22</v>
      </c>
      <c r="S100" s="10611"/>
      <c r="T100" s="10603"/>
      <c r="U100" s="10603"/>
      <c r="V100" s="10603"/>
      <c r="W100" s="10603"/>
      <c r="X100" s="10603"/>
      <c r="Y100" s="10603"/>
      <c r="Z100" s="10603"/>
      <c r="AA100" s="10603"/>
      <c r="AB100" s="10603"/>
      <c r="AC100" s="10612"/>
      <c r="AD100" s="10603">
        <v>0</v>
      </c>
    </row>
    <row s="36367" customFormat="1" customHeight="1" ht="15">
      <c r="A101" s="10603"/>
      <c r="B101" s="10604"/>
      <c r="C101" s="10605"/>
      <c r="D101" s="10606" t="str">
        <f>B100&amp;".2"</f>
        <v>3.22.2</v>
      </c>
      <c r="E101" s="10607" t="s">
        <v>964</v>
      </c>
      <c r="F101" s="10608" t="s">
        <v>324</v>
      </c>
      <c r="G101" s="10582" t="s">
        <v>22</v>
      </c>
      <c r="H101" s="10610" t="s">
        <v>22</v>
      </c>
      <c r="I101" s="19680">
        <v>45383</v>
      </c>
      <c r="J101" s="10610" t="s">
        <v>22</v>
      </c>
      <c r="K101" s="10582">
        <v>45397.6515625</v>
      </c>
      <c r="L101" s="10610" t="s">
        <v>22</v>
      </c>
      <c r="M101" s="10582" t="s">
        <v>22</v>
      </c>
      <c r="N101" s="10610" t="s">
        <v>22</v>
      </c>
      <c r="O101" s="29697" t="s">
        <v>22</v>
      </c>
      <c r="P101" s="29693" t="s">
        <v>22</v>
      </c>
      <c r="Q101" s="10582" t="s">
        <v>22</v>
      </c>
      <c r="R101" s="10610" t="s">
        <v>22</v>
      </c>
      <c r="S101" s="10611" t="s">
        <v>965</v>
      </c>
      <c r="T101" s="10603"/>
      <c r="U101" s="10603"/>
      <c r="V101" s="10603"/>
      <c r="W101" s="10603"/>
      <c r="X101" s="10603"/>
      <c r="Y101" s="10603"/>
      <c r="Z101" s="10603"/>
      <c r="AA101" s="10603"/>
      <c r="AB101" s="10603"/>
      <c r="AC101" s="10612"/>
      <c r="AD101" s="10603">
        <v>0</v>
      </c>
    </row>
    <row s="36368" customFormat="1" customHeight="1" ht="15">
      <c r="A102" s="10603"/>
      <c r="B102" s="10604"/>
      <c r="C102" s="10605"/>
      <c r="D102" s="10606" t="str">
        <f>B100&amp;".3"</f>
        <v>3.22.3</v>
      </c>
      <c r="E102" s="10607" t="s">
        <v>966</v>
      </c>
      <c r="F102" s="10608" t="s">
        <v>324</v>
      </c>
      <c r="G102" s="10582" t="s">
        <v>22</v>
      </c>
      <c r="H102" s="10610" t="s">
        <v>22</v>
      </c>
      <c r="I102" s="19680" t="s">
        <v>22</v>
      </c>
      <c r="J102" s="10610" t="s">
        <v>22</v>
      </c>
      <c r="K102" s="10582" t="s">
        <v>22</v>
      </c>
      <c r="L102" s="10610" t="s">
        <v>22</v>
      </c>
      <c r="M102" s="10582" t="s">
        <v>22</v>
      </c>
      <c r="N102" s="10610" t="s">
        <v>22</v>
      </c>
      <c r="O102" s="29697" t="s">
        <v>22</v>
      </c>
      <c r="P102" s="29693" t="s">
        <v>22</v>
      </c>
      <c r="Q102" s="10582" t="s">
        <v>22</v>
      </c>
      <c r="R102" s="10610" t="s">
        <v>22</v>
      </c>
      <c r="S102" s="10611" t="s">
        <v>967</v>
      </c>
      <c r="T102" s="10603"/>
      <c r="U102" s="10603"/>
      <c r="V102" s="10603"/>
      <c r="W102" s="10603"/>
      <c r="X102" s="10603"/>
      <c r="Y102" s="10603"/>
      <c r="Z102" s="10603"/>
      <c r="AA102" s="10603"/>
      <c r="AB102" s="10603"/>
      <c r="AC102" s="10612"/>
      <c r="AD102" s="10603">
        <v>0</v>
      </c>
    </row>
    <row s="36369" customFormat="1" customHeight="1" ht="22.5">
      <c r="A103" s="10603"/>
      <c r="B103" s="10604" t="s">
        <v>1000</v>
      </c>
      <c r="C103" s="10605" t="s">
        <v>103</v>
      </c>
      <c r="D103" s="10606" t="str">
        <f>B103&amp;".1"</f>
        <v>3.23.1</v>
      </c>
      <c r="E103" s="10607" t="s">
        <v>963</v>
      </c>
      <c r="F103" s="10608" t="s">
        <v>324</v>
      </c>
      <c r="G103" s="10609" t="s">
        <v>22</v>
      </c>
      <c r="H103" s="10610" t="s">
        <v>22</v>
      </c>
      <c r="I103" s="10609" t="s">
        <v>981</v>
      </c>
      <c r="J103" s="10610" t="s">
        <v>22</v>
      </c>
      <c r="K103" s="10609" t="s">
        <v>981</v>
      </c>
      <c r="L103" s="10610" t="s">
        <v>22</v>
      </c>
      <c r="M103" s="10609" t="s">
        <v>22</v>
      </c>
      <c r="N103" s="10610" t="s">
        <v>22</v>
      </c>
      <c r="O103" s="29692" t="s">
        <v>22</v>
      </c>
      <c r="P103" s="29693" t="s">
        <v>22</v>
      </c>
      <c r="Q103" s="10609" t="s">
        <v>22</v>
      </c>
      <c r="R103" s="10610" t="s">
        <v>22</v>
      </c>
      <c r="S103" s="10611"/>
      <c r="T103" s="10603"/>
      <c r="U103" s="10603"/>
      <c r="V103" s="10603"/>
      <c r="W103" s="10603"/>
      <c r="X103" s="10603"/>
      <c r="Y103" s="10603"/>
      <c r="Z103" s="10603"/>
      <c r="AA103" s="10603"/>
      <c r="AB103" s="10603"/>
      <c r="AC103" s="10612"/>
      <c r="AD103" s="10603">
        <v>0</v>
      </c>
    </row>
    <row s="36370" customFormat="1" customHeight="1" ht="15">
      <c r="A104" s="10603"/>
      <c r="B104" s="10604"/>
      <c r="C104" s="10605"/>
      <c r="D104" s="10606" t="str">
        <f>B103&amp;".2"</f>
        <v>3.23.2</v>
      </c>
      <c r="E104" s="10607" t="s">
        <v>964</v>
      </c>
      <c r="F104" s="10608" t="s">
        <v>324</v>
      </c>
      <c r="G104" s="10582" t="s">
        <v>22</v>
      </c>
      <c r="H104" s="10610" t="s">
        <v>22</v>
      </c>
      <c r="I104" s="19680">
        <v>45385</v>
      </c>
      <c r="J104" s="10610" t="s">
        <v>22</v>
      </c>
      <c r="K104" s="10582">
        <v>45397.651412037034</v>
      </c>
      <c r="L104" s="10610" t="s">
        <v>22</v>
      </c>
      <c r="M104" s="10582" t="s">
        <v>22</v>
      </c>
      <c r="N104" s="10610" t="s">
        <v>22</v>
      </c>
      <c r="O104" s="29697" t="s">
        <v>22</v>
      </c>
      <c r="P104" s="29693" t="s">
        <v>22</v>
      </c>
      <c r="Q104" s="10582" t="s">
        <v>22</v>
      </c>
      <c r="R104" s="10610" t="s">
        <v>22</v>
      </c>
      <c r="S104" s="10611" t="s">
        <v>965</v>
      </c>
      <c r="T104" s="10603"/>
      <c r="U104" s="10603"/>
      <c r="V104" s="10603"/>
      <c r="W104" s="10603"/>
      <c r="X104" s="10603"/>
      <c r="Y104" s="10603"/>
      <c r="Z104" s="10603"/>
      <c r="AA104" s="10603"/>
      <c r="AB104" s="10603"/>
      <c r="AC104" s="10612"/>
      <c r="AD104" s="10603">
        <v>0</v>
      </c>
    </row>
    <row s="36371" customFormat="1" customHeight="1" ht="15">
      <c r="A105" s="10603"/>
      <c r="B105" s="10604"/>
      <c r="C105" s="10605"/>
      <c r="D105" s="10606" t="str">
        <f>B103&amp;".3"</f>
        <v>3.23.3</v>
      </c>
      <c r="E105" s="10607" t="s">
        <v>966</v>
      </c>
      <c r="F105" s="10608" t="s">
        <v>324</v>
      </c>
      <c r="G105" s="10582" t="s">
        <v>22</v>
      </c>
      <c r="H105" s="10610" t="s">
        <v>22</v>
      </c>
      <c r="I105" s="19680" t="s">
        <v>22</v>
      </c>
      <c r="J105" s="10610" t="s">
        <v>22</v>
      </c>
      <c r="K105" s="10582" t="s">
        <v>22</v>
      </c>
      <c r="L105" s="10610" t="s">
        <v>22</v>
      </c>
      <c r="M105" s="10582" t="s">
        <v>22</v>
      </c>
      <c r="N105" s="10610" t="s">
        <v>22</v>
      </c>
      <c r="O105" s="29697" t="s">
        <v>22</v>
      </c>
      <c r="P105" s="29693" t="s">
        <v>22</v>
      </c>
      <c r="Q105" s="10582" t="s">
        <v>22</v>
      </c>
      <c r="R105" s="10610" t="s">
        <v>22</v>
      </c>
      <c r="S105" s="10611" t="s">
        <v>967</v>
      </c>
      <c r="T105" s="10603"/>
      <c r="U105" s="10603"/>
      <c r="V105" s="10603"/>
      <c r="W105" s="10603"/>
      <c r="X105" s="10603"/>
      <c r="Y105" s="10603"/>
      <c r="Z105" s="10603"/>
      <c r="AA105" s="10603"/>
      <c r="AB105" s="10603"/>
      <c r="AC105" s="10612"/>
      <c r="AD105" s="10603">
        <v>0</v>
      </c>
    </row>
    <row s="36372" customFormat="1" customHeight="1" ht="22.5">
      <c r="A106" s="10603"/>
      <c r="B106" s="10604" t="s">
        <v>1001</v>
      </c>
      <c r="C106" s="10605" t="s">
        <v>103</v>
      </c>
      <c r="D106" s="10606" t="str">
        <f>B106&amp;".1"</f>
        <v>3.24.1</v>
      </c>
      <c r="E106" s="10607" t="s">
        <v>963</v>
      </c>
      <c r="F106" s="10608" t="s">
        <v>324</v>
      </c>
      <c r="G106" s="10609" t="s">
        <v>22</v>
      </c>
      <c r="H106" s="10610" t="s">
        <v>22</v>
      </c>
      <c r="I106" s="10609" t="s">
        <v>987</v>
      </c>
      <c r="J106" s="10610" t="s">
        <v>22</v>
      </c>
      <c r="K106" s="10609" t="s">
        <v>981</v>
      </c>
      <c r="L106" s="10610" t="s">
        <v>22</v>
      </c>
      <c r="M106" s="10609" t="s">
        <v>22</v>
      </c>
      <c r="N106" s="10610" t="s">
        <v>22</v>
      </c>
      <c r="O106" s="29692" t="s">
        <v>22</v>
      </c>
      <c r="P106" s="29693" t="s">
        <v>22</v>
      </c>
      <c r="Q106" s="10609" t="s">
        <v>22</v>
      </c>
      <c r="R106" s="10610" t="s">
        <v>22</v>
      </c>
      <c r="S106" s="10611"/>
      <c r="T106" s="10603"/>
      <c r="U106" s="10603"/>
      <c r="V106" s="10603"/>
      <c r="W106" s="10603"/>
      <c r="X106" s="10603"/>
      <c r="Y106" s="10603"/>
      <c r="Z106" s="10603"/>
      <c r="AA106" s="10603"/>
      <c r="AB106" s="10603"/>
      <c r="AC106" s="10612"/>
      <c r="AD106" s="10603">
        <v>0</v>
      </c>
    </row>
    <row s="36373" customFormat="1" customHeight="1" ht="15">
      <c r="A107" s="10603"/>
      <c r="B107" s="10604"/>
      <c r="C107" s="10605"/>
      <c r="D107" s="10606" t="str">
        <f>B106&amp;".2"</f>
        <v>3.24.2</v>
      </c>
      <c r="E107" s="10607" t="s">
        <v>964</v>
      </c>
      <c r="F107" s="10608" t="s">
        <v>324</v>
      </c>
      <c r="G107" s="10582" t="s">
        <v>22</v>
      </c>
      <c r="H107" s="10610" t="s">
        <v>22</v>
      </c>
      <c r="I107" s="19680">
        <v>45385</v>
      </c>
      <c r="J107" s="10610" t="s">
        <v>22</v>
      </c>
      <c r="K107" s="10582">
        <v>45397.65131944444</v>
      </c>
      <c r="L107" s="10610" t="s">
        <v>22</v>
      </c>
      <c r="M107" s="10582" t="s">
        <v>22</v>
      </c>
      <c r="N107" s="10610" t="s">
        <v>22</v>
      </c>
      <c r="O107" s="29697" t="s">
        <v>22</v>
      </c>
      <c r="P107" s="29693" t="s">
        <v>22</v>
      </c>
      <c r="Q107" s="10582" t="s">
        <v>22</v>
      </c>
      <c r="R107" s="10610" t="s">
        <v>22</v>
      </c>
      <c r="S107" s="10611" t="s">
        <v>965</v>
      </c>
      <c r="T107" s="10603"/>
      <c r="U107" s="10603"/>
      <c r="V107" s="10603"/>
      <c r="W107" s="10603"/>
      <c r="X107" s="10603"/>
      <c r="Y107" s="10603"/>
      <c r="Z107" s="10603"/>
      <c r="AA107" s="10603"/>
      <c r="AB107" s="10603"/>
      <c r="AC107" s="10612"/>
      <c r="AD107" s="10603">
        <v>0</v>
      </c>
    </row>
    <row s="36374" customFormat="1" customHeight="1" ht="15">
      <c r="A108" s="10603"/>
      <c r="B108" s="10604"/>
      <c r="C108" s="10605"/>
      <c r="D108" s="10606" t="str">
        <f>B106&amp;".3"</f>
        <v>3.24.3</v>
      </c>
      <c r="E108" s="10607" t="s">
        <v>966</v>
      </c>
      <c r="F108" s="10608" t="s">
        <v>324</v>
      </c>
      <c r="G108" s="10582" t="s">
        <v>22</v>
      </c>
      <c r="H108" s="10610" t="s">
        <v>22</v>
      </c>
      <c r="I108" s="19680" t="s">
        <v>22</v>
      </c>
      <c r="J108" s="10610" t="s">
        <v>22</v>
      </c>
      <c r="K108" s="10582" t="s">
        <v>22</v>
      </c>
      <c r="L108" s="10610" t="s">
        <v>22</v>
      </c>
      <c r="M108" s="10582" t="s">
        <v>22</v>
      </c>
      <c r="N108" s="10610" t="s">
        <v>22</v>
      </c>
      <c r="O108" s="29697" t="s">
        <v>22</v>
      </c>
      <c r="P108" s="29693" t="s">
        <v>22</v>
      </c>
      <c r="Q108" s="10582" t="s">
        <v>22</v>
      </c>
      <c r="R108" s="10610" t="s">
        <v>22</v>
      </c>
      <c r="S108" s="10611" t="s">
        <v>967</v>
      </c>
      <c r="T108" s="10603"/>
      <c r="U108" s="10603"/>
      <c r="V108" s="10603"/>
      <c r="W108" s="10603"/>
      <c r="X108" s="10603"/>
      <c r="Y108" s="10603"/>
      <c r="Z108" s="10603"/>
      <c r="AA108" s="10603"/>
      <c r="AB108" s="10603"/>
      <c r="AC108" s="10612"/>
      <c r="AD108" s="10603">
        <v>0</v>
      </c>
    </row>
    <row s="36375" customFormat="1" customHeight="1" ht="22.5">
      <c r="A109" s="10603"/>
      <c r="B109" s="10604" t="s">
        <v>1002</v>
      </c>
      <c r="C109" s="10605" t="s">
        <v>103</v>
      </c>
      <c r="D109" s="10606" t="str">
        <f>B109&amp;".1"</f>
        <v>3.25.1</v>
      </c>
      <c r="E109" s="10607" t="s">
        <v>963</v>
      </c>
      <c r="F109" s="10608" t="s">
        <v>324</v>
      </c>
      <c r="G109" s="10609" t="s">
        <v>22</v>
      </c>
      <c r="H109" s="10610" t="s">
        <v>22</v>
      </c>
      <c r="I109" s="10609" t="s">
        <v>981</v>
      </c>
      <c r="J109" s="10610" t="s">
        <v>22</v>
      </c>
      <c r="K109" s="10609" t="s">
        <v>981</v>
      </c>
      <c r="L109" s="10610" t="s">
        <v>22</v>
      </c>
      <c r="M109" s="10609" t="s">
        <v>22</v>
      </c>
      <c r="N109" s="10610" t="s">
        <v>22</v>
      </c>
      <c r="O109" s="29692" t="s">
        <v>22</v>
      </c>
      <c r="P109" s="29693" t="s">
        <v>22</v>
      </c>
      <c r="Q109" s="10609" t="s">
        <v>22</v>
      </c>
      <c r="R109" s="10610" t="s">
        <v>22</v>
      </c>
      <c r="S109" s="10611"/>
      <c r="T109" s="10603"/>
      <c r="U109" s="10603"/>
      <c r="V109" s="10603"/>
      <c r="W109" s="10603"/>
      <c r="X109" s="10603"/>
      <c r="Y109" s="10603"/>
      <c r="Z109" s="10603"/>
      <c r="AA109" s="10603"/>
      <c r="AB109" s="10603"/>
      <c r="AC109" s="10612"/>
      <c r="AD109" s="10603">
        <v>0</v>
      </c>
    </row>
    <row s="36376" customFormat="1" customHeight="1" ht="15">
      <c r="A110" s="10603"/>
      <c r="B110" s="10604"/>
      <c r="C110" s="10605"/>
      <c r="D110" s="10606" t="str">
        <f>B109&amp;".2"</f>
        <v>3.25.2</v>
      </c>
      <c r="E110" s="10607" t="s">
        <v>964</v>
      </c>
      <c r="F110" s="10608" t="s">
        <v>324</v>
      </c>
      <c r="G110" s="10582" t="s">
        <v>22</v>
      </c>
      <c r="H110" s="10610" t="s">
        <v>22</v>
      </c>
      <c r="I110" s="19680">
        <v>45386</v>
      </c>
      <c r="J110" s="10610" t="s">
        <v>22</v>
      </c>
      <c r="K110" s="10582">
        <v>45397.65099537037</v>
      </c>
      <c r="L110" s="10610" t="s">
        <v>22</v>
      </c>
      <c r="M110" s="10582" t="s">
        <v>22</v>
      </c>
      <c r="N110" s="10610" t="s">
        <v>22</v>
      </c>
      <c r="O110" s="29697" t="s">
        <v>22</v>
      </c>
      <c r="P110" s="29693" t="s">
        <v>22</v>
      </c>
      <c r="Q110" s="10582" t="s">
        <v>22</v>
      </c>
      <c r="R110" s="10610" t="s">
        <v>22</v>
      </c>
      <c r="S110" s="10611" t="s">
        <v>965</v>
      </c>
      <c r="T110" s="10603"/>
      <c r="U110" s="10603"/>
      <c r="V110" s="10603"/>
      <c r="W110" s="10603"/>
      <c r="X110" s="10603"/>
      <c r="Y110" s="10603"/>
      <c r="Z110" s="10603"/>
      <c r="AA110" s="10603"/>
      <c r="AB110" s="10603"/>
      <c r="AC110" s="10612"/>
      <c r="AD110" s="10603">
        <v>0</v>
      </c>
    </row>
    <row s="36377" customFormat="1" customHeight="1" ht="15">
      <c r="A111" s="10603"/>
      <c r="B111" s="10604"/>
      <c r="C111" s="10605"/>
      <c r="D111" s="10606" t="str">
        <f>B109&amp;".3"</f>
        <v>3.25.3</v>
      </c>
      <c r="E111" s="10607" t="s">
        <v>966</v>
      </c>
      <c r="F111" s="10608" t="s">
        <v>324</v>
      </c>
      <c r="G111" s="10582" t="s">
        <v>22</v>
      </c>
      <c r="H111" s="10610" t="s">
        <v>22</v>
      </c>
      <c r="I111" s="19680" t="s">
        <v>22</v>
      </c>
      <c r="J111" s="10610" t="s">
        <v>22</v>
      </c>
      <c r="K111" s="10582" t="s">
        <v>22</v>
      </c>
      <c r="L111" s="10610" t="s">
        <v>22</v>
      </c>
      <c r="M111" s="10582" t="s">
        <v>22</v>
      </c>
      <c r="N111" s="10610" t="s">
        <v>22</v>
      </c>
      <c r="O111" s="29697" t="s">
        <v>22</v>
      </c>
      <c r="P111" s="29693" t="s">
        <v>22</v>
      </c>
      <c r="Q111" s="10582" t="s">
        <v>22</v>
      </c>
      <c r="R111" s="10610" t="s">
        <v>22</v>
      </c>
      <c r="S111" s="10611" t="s">
        <v>967</v>
      </c>
      <c r="T111" s="10603"/>
      <c r="U111" s="10603"/>
      <c r="V111" s="10603"/>
      <c r="W111" s="10603"/>
      <c r="X111" s="10603"/>
      <c r="Y111" s="10603"/>
      <c r="Z111" s="10603"/>
      <c r="AA111" s="10603"/>
      <c r="AB111" s="10603"/>
      <c r="AC111" s="10612"/>
      <c r="AD111" s="10603">
        <v>0</v>
      </c>
    </row>
    <row s="36378" customFormat="1" customHeight="1" ht="22.5">
      <c r="A112" s="10603"/>
      <c r="B112" s="10604" t="s">
        <v>1003</v>
      </c>
      <c r="C112" s="10605" t="s">
        <v>103</v>
      </c>
      <c r="D112" s="10606" t="str">
        <f>B112&amp;".1"</f>
        <v>3.26.1</v>
      </c>
      <c r="E112" s="10607" t="s">
        <v>963</v>
      </c>
      <c r="F112" s="10608" t="s">
        <v>324</v>
      </c>
      <c r="G112" s="10609" t="s">
        <v>22</v>
      </c>
      <c r="H112" s="10610" t="s">
        <v>22</v>
      </c>
      <c r="I112" s="10609" t="s">
        <v>981</v>
      </c>
      <c r="J112" s="10610" t="s">
        <v>22</v>
      </c>
      <c r="K112" s="10609" t="s">
        <v>981</v>
      </c>
      <c r="L112" s="10610" t="s">
        <v>22</v>
      </c>
      <c r="M112" s="10609" t="s">
        <v>22</v>
      </c>
      <c r="N112" s="10610" t="s">
        <v>22</v>
      </c>
      <c r="O112" s="29692" t="s">
        <v>22</v>
      </c>
      <c r="P112" s="29693" t="s">
        <v>22</v>
      </c>
      <c r="Q112" s="10609" t="s">
        <v>22</v>
      </c>
      <c r="R112" s="10610" t="s">
        <v>22</v>
      </c>
      <c r="S112" s="10611"/>
      <c r="T112" s="10603"/>
      <c r="U112" s="10603"/>
      <c r="V112" s="10603"/>
      <c r="W112" s="10603"/>
      <c r="X112" s="10603"/>
      <c r="Y112" s="10603"/>
      <c r="Z112" s="10603"/>
      <c r="AA112" s="10603"/>
      <c r="AB112" s="10603"/>
      <c r="AC112" s="10612"/>
      <c r="AD112" s="10603">
        <v>0</v>
      </c>
    </row>
    <row s="36379" customFormat="1" customHeight="1" ht="15">
      <c r="A113" s="10603"/>
      <c r="B113" s="10604"/>
      <c r="C113" s="10605"/>
      <c r="D113" s="10606" t="str">
        <f>B112&amp;".2"</f>
        <v>3.26.2</v>
      </c>
      <c r="E113" s="10607" t="s">
        <v>964</v>
      </c>
      <c r="F113" s="10608" t="s">
        <v>324</v>
      </c>
      <c r="G113" s="10582" t="s">
        <v>22</v>
      </c>
      <c r="H113" s="10610" t="s">
        <v>22</v>
      </c>
      <c r="I113" s="19680">
        <v>45387</v>
      </c>
      <c r="J113" s="10610" t="s">
        <v>22</v>
      </c>
      <c r="K113" s="10582">
        <v>45397.65091435185</v>
      </c>
      <c r="L113" s="10610" t="s">
        <v>22</v>
      </c>
      <c r="M113" s="10582" t="s">
        <v>22</v>
      </c>
      <c r="N113" s="10610" t="s">
        <v>22</v>
      </c>
      <c r="O113" s="29697" t="s">
        <v>22</v>
      </c>
      <c r="P113" s="29693" t="s">
        <v>22</v>
      </c>
      <c r="Q113" s="10582" t="s">
        <v>22</v>
      </c>
      <c r="R113" s="10610" t="s">
        <v>22</v>
      </c>
      <c r="S113" s="10611" t="s">
        <v>965</v>
      </c>
      <c r="T113" s="10603"/>
      <c r="U113" s="10603"/>
      <c r="V113" s="10603"/>
      <c r="W113" s="10603"/>
      <c r="X113" s="10603"/>
      <c r="Y113" s="10603"/>
      <c r="Z113" s="10603"/>
      <c r="AA113" s="10603"/>
      <c r="AB113" s="10603"/>
      <c r="AC113" s="10612"/>
      <c r="AD113" s="10603">
        <v>0</v>
      </c>
    </row>
    <row s="36380" customFormat="1" customHeight="1" ht="15">
      <c r="A114" s="10603"/>
      <c r="B114" s="10604"/>
      <c r="C114" s="10605"/>
      <c r="D114" s="10606" t="str">
        <f>B112&amp;".3"</f>
        <v>3.26.3</v>
      </c>
      <c r="E114" s="10607" t="s">
        <v>966</v>
      </c>
      <c r="F114" s="10608" t="s">
        <v>324</v>
      </c>
      <c r="G114" s="10582" t="s">
        <v>22</v>
      </c>
      <c r="H114" s="10610" t="s">
        <v>22</v>
      </c>
      <c r="I114" s="19680" t="s">
        <v>22</v>
      </c>
      <c r="J114" s="10610" t="s">
        <v>22</v>
      </c>
      <c r="K114" s="10582" t="s">
        <v>22</v>
      </c>
      <c r="L114" s="10610" t="s">
        <v>22</v>
      </c>
      <c r="M114" s="10582" t="s">
        <v>22</v>
      </c>
      <c r="N114" s="10610" t="s">
        <v>22</v>
      </c>
      <c r="O114" s="29697" t="s">
        <v>22</v>
      </c>
      <c r="P114" s="29693" t="s">
        <v>22</v>
      </c>
      <c r="Q114" s="10582" t="s">
        <v>22</v>
      </c>
      <c r="R114" s="10610" t="s">
        <v>22</v>
      </c>
      <c r="S114" s="10611" t="s">
        <v>967</v>
      </c>
      <c r="T114" s="10603"/>
      <c r="U114" s="10603"/>
      <c r="V114" s="10603"/>
      <c r="W114" s="10603"/>
      <c r="X114" s="10603"/>
      <c r="Y114" s="10603"/>
      <c r="Z114" s="10603"/>
      <c r="AA114" s="10603"/>
      <c r="AB114" s="10603"/>
      <c r="AC114" s="10612"/>
      <c r="AD114" s="10603">
        <v>0</v>
      </c>
    </row>
    <row s="36381" customFormat="1" customHeight="1" ht="22.5">
      <c r="A115" s="10603"/>
      <c r="B115" s="10604" t="s">
        <v>1004</v>
      </c>
      <c r="C115" s="10605" t="s">
        <v>103</v>
      </c>
      <c r="D115" s="10606" t="str">
        <f>B115&amp;".1"</f>
        <v>3.27.1</v>
      </c>
      <c r="E115" s="10607" t="s">
        <v>963</v>
      </c>
      <c r="F115" s="10608" t="s">
        <v>324</v>
      </c>
      <c r="G115" s="10609" t="s">
        <v>22</v>
      </c>
      <c r="H115" s="10610" t="s">
        <v>22</v>
      </c>
      <c r="I115" s="10609" t="s">
        <v>981</v>
      </c>
      <c r="J115" s="10610" t="s">
        <v>22</v>
      </c>
      <c r="K115" s="10609" t="s">
        <v>981</v>
      </c>
      <c r="L115" s="10610" t="s">
        <v>22</v>
      </c>
      <c r="M115" s="10609" t="s">
        <v>22</v>
      </c>
      <c r="N115" s="10610" t="s">
        <v>22</v>
      </c>
      <c r="O115" s="29692" t="s">
        <v>22</v>
      </c>
      <c r="P115" s="29693" t="s">
        <v>22</v>
      </c>
      <c r="Q115" s="10609" t="s">
        <v>22</v>
      </c>
      <c r="R115" s="10610" t="s">
        <v>22</v>
      </c>
      <c r="S115" s="10611"/>
      <c r="T115" s="10603"/>
      <c r="U115" s="10603"/>
      <c r="V115" s="10603"/>
      <c r="W115" s="10603"/>
      <c r="X115" s="10603"/>
      <c r="Y115" s="10603"/>
      <c r="Z115" s="10603"/>
      <c r="AA115" s="10603"/>
      <c r="AB115" s="10603"/>
      <c r="AC115" s="10612"/>
      <c r="AD115" s="10603">
        <v>0</v>
      </c>
    </row>
    <row s="36382" customFormat="1" customHeight="1" ht="15">
      <c r="A116" s="10603"/>
      <c r="B116" s="10604"/>
      <c r="C116" s="10605"/>
      <c r="D116" s="10606" t="str">
        <f>B115&amp;".2"</f>
        <v>3.27.2</v>
      </c>
      <c r="E116" s="10607" t="s">
        <v>964</v>
      </c>
      <c r="F116" s="10608" t="s">
        <v>324</v>
      </c>
      <c r="G116" s="10582" t="s">
        <v>22</v>
      </c>
      <c r="H116" s="10610" t="s">
        <v>22</v>
      </c>
      <c r="I116" s="19680">
        <v>45387</v>
      </c>
      <c r="J116" s="10610" t="s">
        <v>22</v>
      </c>
      <c r="K116" s="23000">
        <v>45399.65083333333</v>
      </c>
      <c r="L116" s="10610" t="s">
        <v>22</v>
      </c>
      <c r="M116" s="10582" t="s">
        <v>22</v>
      </c>
      <c r="N116" s="10610" t="s">
        <v>22</v>
      </c>
      <c r="O116" s="29697" t="s">
        <v>22</v>
      </c>
      <c r="P116" s="29693" t="s">
        <v>22</v>
      </c>
      <c r="Q116" s="10582" t="s">
        <v>22</v>
      </c>
      <c r="R116" s="10610" t="s">
        <v>22</v>
      </c>
      <c r="S116" s="10611" t="s">
        <v>965</v>
      </c>
      <c r="T116" s="10603"/>
      <c r="U116" s="10603"/>
      <c r="V116" s="10603"/>
      <c r="W116" s="10603"/>
      <c r="X116" s="10603"/>
      <c r="Y116" s="10603"/>
      <c r="Z116" s="10603"/>
      <c r="AA116" s="10603"/>
      <c r="AB116" s="10603"/>
      <c r="AC116" s="10612"/>
      <c r="AD116" s="10603">
        <v>0</v>
      </c>
    </row>
    <row s="36383" customFormat="1" customHeight="1" ht="15">
      <c r="A117" s="10603"/>
      <c r="B117" s="10604"/>
      <c r="C117" s="10605"/>
      <c r="D117" s="10606" t="str">
        <f>B115&amp;".3"</f>
        <v>3.27.3</v>
      </c>
      <c r="E117" s="10607" t="s">
        <v>966</v>
      </c>
      <c r="F117" s="10608" t="s">
        <v>324</v>
      </c>
      <c r="G117" s="10582" t="s">
        <v>22</v>
      </c>
      <c r="H117" s="10610" t="s">
        <v>22</v>
      </c>
      <c r="I117" s="19680" t="s">
        <v>22</v>
      </c>
      <c r="J117" s="10610" t="s">
        <v>22</v>
      </c>
      <c r="K117" s="10582" t="s">
        <v>22</v>
      </c>
      <c r="L117" s="10610" t="s">
        <v>22</v>
      </c>
      <c r="M117" s="10582" t="s">
        <v>22</v>
      </c>
      <c r="N117" s="10610" t="s">
        <v>22</v>
      </c>
      <c r="O117" s="29697" t="s">
        <v>22</v>
      </c>
      <c r="P117" s="29693" t="s">
        <v>22</v>
      </c>
      <c r="Q117" s="10582" t="s">
        <v>22</v>
      </c>
      <c r="R117" s="10610" t="s">
        <v>22</v>
      </c>
      <c r="S117" s="10611" t="s">
        <v>967</v>
      </c>
      <c r="T117" s="10603"/>
      <c r="U117" s="10603"/>
      <c r="V117" s="10603"/>
      <c r="W117" s="10603"/>
      <c r="X117" s="10603"/>
      <c r="Y117" s="10603"/>
      <c r="Z117" s="10603"/>
      <c r="AA117" s="10603"/>
      <c r="AB117" s="10603"/>
      <c r="AC117" s="10612"/>
      <c r="AD117" s="10603">
        <v>0</v>
      </c>
    </row>
    <row s="36384" customFormat="1" customHeight="1" ht="22.5">
      <c r="A118" s="10603"/>
      <c r="B118" s="10604" t="s">
        <v>1005</v>
      </c>
      <c r="C118" s="10605" t="s">
        <v>103</v>
      </c>
      <c r="D118" s="10606" t="str">
        <f>B118&amp;".1"</f>
        <v>3.28.1</v>
      </c>
      <c r="E118" s="10607" t="s">
        <v>963</v>
      </c>
      <c r="F118" s="10608" t="s">
        <v>324</v>
      </c>
      <c r="G118" s="10609" t="s">
        <v>22</v>
      </c>
      <c r="H118" s="10610" t="s">
        <v>22</v>
      </c>
      <c r="I118" s="10609" t="s">
        <v>982</v>
      </c>
      <c r="J118" s="10610" t="s">
        <v>22</v>
      </c>
      <c r="K118" s="10609" t="s">
        <v>981</v>
      </c>
      <c r="L118" s="10610" t="s">
        <v>22</v>
      </c>
      <c r="M118" s="10609" t="s">
        <v>22</v>
      </c>
      <c r="N118" s="10610" t="s">
        <v>22</v>
      </c>
      <c r="O118" s="29692" t="s">
        <v>22</v>
      </c>
      <c r="P118" s="29693" t="s">
        <v>22</v>
      </c>
      <c r="Q118" s="10609" t="s">
        <v>22</v>
      </c>
      <c r="R118" s="10610" t="s">
        <v>22</v>
      </c>
      <c r="S118" s="10611"/>
      <c r="T118" s="10603"/>
      <c r="U118" s="10603"/>
      <c r="V118" s="10603"/>
      <c r="W118" s="10603"/>
      <c r="X118" s="10603"/>
      <c r="Y118" s="10603"/>
      <c r="Z118" s="10603"/>
      <c r="AA118" s="10603"/>
      <c r="AB118" s="10603"/>
      <c r="AC118" s="10612"/>
      <c r="AD118" s="10603">
        <v>0</v>
      </c>
    </row>
    <row s="36385" customFormat="1" customHeight="1" ht="15">
      <c r="A119" s="10603"/>
      <c r="B119" s="10604"/>
      <c r="C119" s="10605"/>
      <c r="D119" s="10606" t="str">
        <f>B118&amp;".2"</f>
        <v>3.28.2</v>
      </c>
      <c r="E119" s="10607" t="s">
        <v>964</v>
      </c>
      <c r="F119" s="10608" t="s">
        <v>324</v>
      </c>
      <c r="G119" s="10582" t="s">
        <v>22</v>
      </c>
      <c r="H119" s="10610" t="s">
        <v>22</v>
      </c>
      <c r="I119" s="19680">
        <v>45387</v>
      </c>
      <c r="J119" s="10610" t="s">
        <v>22</v>
      </c>
      <c r="K119" s="10582">
        <v>45399</v>
      </c>
      <c r="L119" s="10610" t="s">
        <v>22</v>
      </c>
      <c r="M119" s="10582" t="s">
        <v>22</v>
      </c>
      <c r="N119" s="10610" t="s">
        <v>22</v>
      </c>
      <c r="O119" s="29697" t="s">
        <v>22</v>
      </c>
      <c r="P119" s="29693" t="s">
        <v>22</v>
      </c>
      <c r="Q119" s="10582" t="s">
        <v>22</v>
      </c>
      <c r="R119" s="10610" t="s">
        <v>22</v>
      </c>
      <c r="S119" s="10611" t="s">
        <v>965</v>
      </c>
      <c r="T119" s="10603"/>
      <c r="U119" s="10603"/>
      <c r="V119" s="10603"/>
      <c r="W119" s="10603"/>
      <c r="X119" s="10603"/>
      <c r="Y119" s="10603"/>
      <c r="Z119" s="10603"/>
      <c r="AA119" s="10603"/>
      <c r="AB119" s="10603"/>
      <c r="AC119" s="10612"/>
      <c r="AD119" s="10603">
        <v>0</v>
      </c>
    </row>
    <row s="36386" customFormat="1" customHeight="1" ht="15">
      <c r="A120" s="10603"/>
      <c r="B120" s="10604"/>
      <c r="C120" s="10605"/>
      <c r="D120" s="10606" t="str">
        <f>B118&amp;".3"</f>
        <v>3.28.3</v>
      </c>
      <c r="E120" s="10607" t="s">
        <v>966</v>
      </c>
      <c r="F120" s="10608" t="s">
        <v>324</v>
      </c>
      <c r="G120" s="10582" t="s">
        <v>22</v>
      </c>
      <c r="H120" s="10610" t="s">
        <v>22</v>
      </c>
      <c r="I120" s="33071" t="s">
        <v>22</v>
      </c>
      <c r="J120" s="10610" t="s">
        <v>22</v>
      </c>
      <c r="K120" s="10582" t="s">
        <v>22</v>
      </c>
      <c r="L120" s="10610" t="s">
        <v>22</v>
      </c>
      <c r="M120" s="10582" t="s">
        <v>22</v>
      </c>
      <c r="N120" s="10610" t="s">
        <v>22</v>
      </c>
      <c r="O120" s="29697" t="s">
        <v>22</v>
      </c>
      <c r="P120" s="29693" t="s">
        <v>22</v>
      </c>
      <c r="Q120" s="10582" t="s">
        <v>22</v>
      </c>
      <c r="R120" s="10610" t="s">
        <v>22</v>
      </c>
      <c r="S120" s="10611" t="s">
        <v>967</v>
      </c>
      <c r="T120" s="10603"/>
      <c r="U120" s="10603"/>
      <c r="V120" s="10603"/>
      <c r="W120" s="10603"/>
      <c r="X120" s="10603"/>
      <c r="Y120" s="10603"/>
      <c r="Z120" s="10603"/>
      <c r="AA120" s="10603"/>
      <c r="AB120" s="10603"/>
      <c r="AC120" s="10612"/>
      <c r="AD120" s="10603">
        <v>0</v>
      </c>
    </row>
    <row s="36388" customFormat="1" customHeight="1" ht="22.5">
      <c r="A121" s="10603"/>
      <c r="B121" s="10604" t="s">
        <v>1006</v>
      </c>
      <c r="C121" s="10605" t="s">
        <v>103</v>
      </c>
      <c r="D121" s="10606" t="str">
        <f>B121&amp;".1"</f>
        <v>3.29.1</v>
      </c>
      <c r="E121" s="10607" t="s">
        <v>963</v>
      </c>
      <c r="F121" s="10608" t="s">
        <v>324</v>
      </c>
      <c r="G121" s="10609" t="s">
        <v>22</v>
      </c>
      <c r="H121" s="10610" t="s">
        <v>22</v>
      </c>
      <c r="I121" s="10609" t="s">
        <v>982</v>
      </c>
      <c r="J121" s="10610" t="s">
        <v>22</v>
      </c>
      <c r="K121" s="10609" t="s">
        <v>981</v>
      </c>
      <c r="L121" s="10610" t="s">
        <v>22</v>
      </c>
      <c r="M121" s="10609" t="s">
        <v>22</v>
      </c>
      <c r="N121" s="10610" t="s">
        <v>22</v>
      </c>
      <c r="O121" s="29692" t="s">
        <v>22</v>
      </c>
      <c r="P121" s="29693" t="s">
        <v>22</v>
      </c>
      <c r="Q121" s="10609" t="s">
        <v>22</v>
      </c>
      <c r="R121" s="10610" t="s">
        <v>22</v>
      </c>
      <c r="S121" s="10611"/>
      <c r="T121" s="10603"/>
      <c r="U121" s="10603"/>
      <c r="V121" s="10603"/>
      <c r="W121" s="10603"/>
      <c r="X121" s="10603"/>
      <c r="Y121" s="10603"/>
      <c r="Z121" s="10603"/>
      <c r="AA121" s="10603"/>
      <c r="AB121" s="10603"/>
      <c r="AC121" s="10612"/>
      <c r="AD121" s="10603">
        <v>0</v>
      </c>
    </row>
    <row s="36389" customFormat="1" customHeight="1" ht="15">
      <c r="A122" s="10603"/>
      <c r="B122" s="10604"/>
      <c r="C122" s="10605"/>
      <c r="D122" s="10606" t="str">
        <f>B121&amp;".2"</f>
        <v>3.29.2</v>
      </c>
      <c r="E122" s="10607" t="s">
        <v>964</v>
      </c>
      <c r="F122" s="10608" t="s">
        <v>324</v>
      </c>
      <c r="G122" s="10582" t="s">
        <v>22</v>
      </c>
      <c r="H122" s="10610" t="s">
        <v>22</v>
      </c>
      <c r="I122" s="19680">
        <v>45387</v>
      </c>
      <c r="J122" s="10610" t="s">
        <v>22</v>
      </c>
      <c r="K122" s="10582">
        <v>45399</v>
      </c>
      <c r="L122" s="10610" t="s">
        <v>22</v>
      </c>
      <c r="M122" s="10582" t="s">
        <v>22</v>
      </c>
      <c r="N122" s="10610" t="s">
        <v>22</v>
      </c>
      <c r="O122" s="29697" t="s">
        <v>22</v>
      </c>
      <c r="P122" s="29693" t="s">
        <v>22</v>
      </c>
      <c r="Q122" s="10582" t="s">
        <v>22</v>
      </c>
      <c r="R122" s="10610" t="s">
        <v>22</v>
      </c>
      <c r="S122" s="10611" t="s">
        <v>965</v>
      </c>
      <c r="T122" s="10603"/>
      <c r="U122" s="10603"/>
      <c r="V122" s="10603"/>
      <c r="W122" s="10603"/>
      <c r="X122" s="10603"/>
      <c r="Y122" s="10603"/>
      <c r="Z122" s="10603"/>
      <c r="AA122" s="10603"/>
      <c r="AB122" s="10603"/>
      <c r="AC122" s="10612"/>
      <c r="AD122" s="10603">
        <v>0</v>
      </c>
    </row>
    <row s="36390" customFormat="1" customHeight="1" ht="15">
      <c r="A123" s="10603"/>
      <c r="B123" s="10604"/>
      <c r="C123" s="10605"/>
      <c r="D123" s="10606" t="str">
        <f>B121&amp;".3"</f>
        <v>3.29.3</v>
      </c>
      <c r="E123" s="10607" t="s">
        <v>966</v>
      </c>
      <c r="F123" s="10608" t="s">
        <v>324</v>
      </c>
      <c r="G123" s="10582" t="s">
        <v>22</v>
      </c>
      <c r="H123" s="10610" t="s">
        <v>22</v>
      </c>
      <c r="I123" s="19680" t="s">
        <v>22</v>
      </c>
      <c r="J123" s="10610" t="s">
        <v>22</v>
      </c>
      <c r="K123" s="10582" t="s">
        <v>22</v>
      </c>
      <c r="L123" s="10610" t="s">
        <v>22</v>
      </c>
      <c r="M123" s="10582" t="s">
        <v>22</v>
      </c>
      <c r="N123" s="10610" t="s">
        <v>22</v>
      </c>
      <c r="O123" s="29697" t="s">
        <v>22</v>
      </c>
      <c r="P123" s="29693" t="s">
        <v>22</v>
      </c>
      <c r="Q123" s="10582" t="s">
        <v>22</v>
      </c>
      <c r="R123" s="10610" t="s">
        <v>22</v>
      </c>
      <c r="S123" s="10611" t="s">
        <v>967</v>
      </c>
      <c r="T123" s="10603"/>
      <c r="U123" s="10603"/>
      <c r="V123" s="10603"/>
      <c r="W123" s="10603"/>
      <c r="X123" s="10603"/>
      <c r="Y123" s="10603"/>
      <c r="Z123" s="10603"/>
      <c r="AA123" s="10603"/>
      <c r="AB123" s="10603"/>
      <c r="AC123" s="10612"/>
      <c r="AD123" s="10603">
        <v>0</v>
      </c>
    </row>
    <row s="36391" customFormat="1" customHeight="1" ht="22.5">
      <c r="A124" s="10603"/>
      <c r="B124" s="10604" t="s">
        <v>1007</v>
      </c>
      <c r="C124" s="10605" t="s">
        <v>103</v>
      </c>
      <c r="D124" s="10606" t="str">
        <f>B124&amp;".1"</f>
        <v>3.30.1</v>
      </c>
      <c r="E124" s="10607" t="s">
        <v>963</v>
      </c>
      <c r="F124" s="10608" t="s">
        <v>324</v>
      </c>
      <c r="G124" s="10609" t="s">
        <v>22</v>
      </c>
      <c r="H124" s="10610" t="s">
        <v>22</v>
      </c>
      <c r="I124" s="10609" t="s">
        <v>982</v>
      </c>
      <c r="J124" s="10610" t="s">
        <v>22</v>
      </c>
      <c r="K124" s="10609" t="s">
        <v>981</v>
      </c>
      <c r="L124" s="10610" t="s">
        <v>22</v>
      </c>
      <c r="M124" s="10609" t="s">
        <v>22</v>
      </c>
      <c r="N124" s="10610" t="s">
        <v>22</v>
      </c>
      <c r="O124" s="29692" t="s">
        <v>22</v>
      </c>
      <c r="P124" s="29693" t="s">
        <v>22</v>
      </c>
      <c r="Q124" s="10609" t="s">
        <v>22</v>
      </c>
      <c r="R124" s="10610" t="s">
        <v>22</v>
      </c>
      <c r="S124" s="10611"/>
      <c r="T124" s="10603"/>
      <c r="U124" s="10603"/>
      <c r="V124" s="10603"/>
      <c r="W124" s="10603"/>
      <c r="X124" s="10603"/>
      <c r="Y124" s="10603"/>
      <c r="Z124" s="10603"/>
      <c r="AA124" s="10603"/>
      <c r="AB124" s="10603"/>
      <c r="AC124" s="10612"/>
      <c r="AD124" s="10603">
        <v>0</v>
      </c>
    </row>
    <row s="36392" customFormat="1" customHeight="1" ht="15">
      <c r="A125" s="10603"/>
      <c r="B125" s="10604"/>
      <c r="C125" s="10605"/>
      <c r="D125" s="10606" t="str">
        <f>B124&amp;".2"</f>
        <v>3.30.2</v>
      </c>
      <c r="E125" s="10607" t="s">
        <v>964</v>
      </c>
      <c r="F125" s="10608" t="s">
        <v>324</v>
      </c>
      <c r="G125" s="10582" t="s">
        <v>22</v>
      </c>
      <c r="H125" s="10610" t="s">
        <v>22</v>
      </c>
      <c r="I125" s="19680">
        <v>45390</v>
      </c>
      <c r="J125" s="10610" t="s">
        <v>22</v>
      </c>
      <c r="K125" s="10582">
        <v>45399</v>
      </c>
      <c r="L125" s="10610" t="s">
        <v>22</v>
      </c>
      <c r="M125" s="10582" t="s">
        <v>22</v>
      </c>
      <c r="N125" s="10610" t="s">
        <v>22</v>
      </c>
      <c r="O125" s="29697" t="s">
        <v>22</v>
      </c>
      <c r="P125" s="29693" t="s">
        <v>22</v>
      </c>
      <c r="Q125" s="10582" t="s">
        <v>22</v>
      </c>
      <c r="R125" s="10610" t="s">
        <v>22</v>
      </c>
      <c r="S125" s="10611" t="s">
        <v>965</v>
      </c>
      <c r="T125" s="10603"/>
      <c r="U125" s="10603"/>
      <c r="V125" s="10603"/>
      <c r="W125" s="10603"/>
      <c r="X125" s="10603"/>
      <c r="Y125" s="10603"/>
      <c r="Z125" s="10603"/>
      <c r="AA125" s="10603"/>
      <c r="AB125" s="10603"/>
      <c r="AC125" s="10612"/>
      <c r="AD125" s="10603">
        <v>0</v>
      </c>
    </row>
    <row s="36393" customFormat="1" customHeight="1" ht="15">
      <c r="A126" s="10603"/>
      <c r="B126" s="10604"/>
      <c r="C126" s="10605"/>
      <c r="D126" s="10606" t="str">
        <f>B124&amp;".3"</f>
        <v>3.30.3</v>
      </c>
      <c r="E126" s="10607" t="s">
        <v>966</v>
      </c>
      <c r="F126" s="10608" t="s">
        <v>324</v>
      </c>
      <c r="G126" s="10582" t="s">
        <v>22</v>
      </c>
      <c r="H126" s="10610" t="s">
        <v>22</v>
      </c>
      <c r="I126" s="19680" t="s">
        <v>22</v>
      </c>
      <c r="J126" s="10610" t="s">
        <v>22</v>
      </c>
      <c r="K126" s="10582" t="s">
        <v>22</v>
      </c>
      <c r="L126" s="10610" t="s">
        <v>22</v>
      </c>
      <c r="M126" s="10582" t="s">
        <v>22</v>
      </c>
      <c r="N126" s="10610" t="s">
        <v>22</v>
      </c>
      <c r="O126" s="29697" t="s">
        <v>22</v>
      </c>
      <c r="P126" s="29693" t="s">
        <v>22</v>
      </c>
      <c r="Q126" s="10582" t="s">
        <v>22</v>
      </c>
      <c r="R126" s="10610" t="s">
        <v>22</v>
      </c>
      <c r="S126" s="10611" t="s">
        <v>967</v>
      </c>
      <c r="T126" s="10603"/>
      <c r="U126" s="10603"/>
      <c r="V126" s="10603"/>
      <c r="W126" s="10603"/>
      <c r="X126" s="10603"/>
      <c r="Y126" s="10603"/>
      <c r="Z126" s="10603"/>
      <c r="AA126" s="10603"/>
      <c r="AB126" s="10603"/>
      <c r="AC126" s="10612"/>
      <c r="AD126" s="10603">
        <v>0</v>
      </c>
    </row>
    <row s="36394" customFormat="1" customHeight="1" ht="22.5">
      <c r="A127" s="10603"/>
      <c r="B127" s="10604" t="s">
        <v>1008</v>
      </c>
      <c r="C127" s="10605" t="s">
        <v>103</v>
      </c>
      <c r="D127" s="10606" t="str">
        <f>B127&amp;".1"</f>
        <v>3.31.1</v>
      </c>
      <c r="E127" s="10607" t="s">
        <v>963</v>
      </c>
      <c r="F127" s="10608" t="s">
        <v>324</v>
      </c>
      <c r="G127" s="10609" t="s">
        <v>22</v>
      </c>
      <c r="H127" s="10610" t="s">
        <v>22</v>
      </c>
      <c r="I127" s="10609" t="s">
        <v>981</v>
      </c>
      <c r="J127" s="10610" t="s">
        <v>22</v>
      </c>
      <c r="K127" s="10609" t="s">
        <v>981</v>
      </c>
      <c r="L127" s="10610" t="s">
        <v>22</v>
      </c>
      <c r="M127" s="10609" t="s">
        <v>22</v>
      </c>
      <c r="N127" s="10610" t="s">
        <v>22</v>
      </c>
      <c r="O127" s="29692" t="s">
        <v>22</v>
      </c>
      <c r="P127" s="29693" t="s">
        <v>22</v>
      </c>
      <c r="Q127" s="10609" t="s">
        <v>22</v>
      </c>
      <c r="R127" s="10610" t="s">
        <v>22</v>
      </c>
      <c r="S127" s="10611"/>
      <c r="T127" s="10603"/>
      <c r="U127" s="10603"/>
      <c r="V127" s="10603"/>
      <c r="W127" s="10603"/>
      <c r="X127" s="10603"/>
      <c r="Y127" s="10603"/>
      <c r="Z127" s="10603"/>
      <c r="AA127" s="10603"/>
      <c r="AB127" s="10603"/>
      <c r="AC127" s="10612"/>
      <c r="AD127" s="10603">
        <v>0</v>
      </c>
    </row>
    <row s="36395" customFormat="1" customHeight="1" ht="15">
      <c r="A128" s="10603"/>
      <c r="B128" s="10604"/>
      <c r="C128" s="10605"/>
      <c r="D128" s="10606" t="str">
        <f>B127&amp;".2"</f>
        <v>3.31.2</v>
      </c>
      <c r="E128" s="10607" t="s">
        <v>964</v>
      </c>
      <c r="F128" s="10608" t="s">
        <v>324</v>
      </c>
      <c r="G128" s="10582" t="s">
        <v>22</v>
      </c>
      <c r="H128" s="10610" t="s">
        <v>22</v>
      </c>
      <c r="I128" s="19680">
        <v>45390</v>
      </c>
      <c r="J128" s="10610" t="s">
        <v>22</v>
      </c>
      <c r="K128" s="10582">
        <v>45399</v>
      </c>
      <c r="L128" s="10610" t="s">
        <v>22</v>
      </c>
      <c r="M128" s="10582" t="s">
        <v>22</v>
      </c>
      <c r="N128" s="10610" t="s">
        <v>22</v>
      </c>
      <c r="O128" s="29697" t="s">
        <v>22</v>
      </c>
      <c r="P128" s="29693" t="s">
        <v>22</v>
      </c>
      <c r="Q128" s="10582" t="s">
        <v>22</v>
      </c>
      <c r="R128" s="10610" t="s">
        <v>22</v>
      </c>
      <c r="S128" s="10611" t="s">
        <v>965</v>
      </c>
      <c r="T128" s="10603"/>
      <c r="U128" s="10603"/>
      <c r="V128" s="10603"/>
      <c r="W128" s="10603"/>
      <c r="X128" s="10603"/>
      <c r="Y128" s="10603"/>
      <c r="Z128" s="10603"/>
      <c r="AA128" s="10603"/>
      <c r="AB128" s="10603"/>
      <c r="AC128" s="10612"/>
      <c r="AD128" s="10603">
        <v>0</v>
      </c>
    </row>
    <row s="36396" customFormat="1" customHeight="1" ht="15">
      <c r="A129" s="10603"/>
      <c r="B129" s="10604"/>
      <c r="C129" s="10605"/>
      <c r="D129" s="10606" t="str">
        <f>B127&amp;".3"</f>
        <v>3.31.3</v>
      </c>
      <c r="E129" s="10607" t="s">
        <v>966</v>
      </c>
      <c r="F129" s="10608" t="s">
        <v>324</v>
      </c>
      <c r="G129" s="10582" t="s">
        <v>22</v>
      </c>
      <c r="H129" s="10610" t="s">
        <v>22</v>
      </c>
      <c r="I129" s="19680" t="s">
        <v>22</v>
      </c>
      <c r="J129" s="10610" t="s">
        <v>22</v>
      </c>
      <c r="K129" s="10582" t="s">
        <v>22</v>
      </c>
      <c r="L129" s="10610" t="s">
        <v>22</v>
      </c>
      <c r="M129" s="10582" t="s">
        <v>22</v>
      </c>
      <c r="N129" s="10610" t="s">
        <v>22</v>
      </c>
      <c r="O129" s="29697" t="s">
        <v>22</v>
      </c>
      <c r="P129" s="29693" t="s">
        <v>22</v>
      </c>
      <c r="Q129" s="10582" t="s">
        <v>22</v>
      </c>
      <c r="R129" s="10610" t="s">
        <v>22</v>
      </c>
      <c r="S129" s="10611" t="s">
        <v>967</v>
      </c>
      <c r="T129" s="10603"/>
      <c r="U129" s="10603"/>
      <c r="V129" s="10603"/>
      <c r="W129" s="10603"/>
      <c r="X129" s="10603"/>
      <c r="Y129" s="10603"/>
      <c r="Z129" s="10603"/>
      <c r="AA129" s="10603"/>
      <c r="AB129" s="10603"/>
      <c r="AC129" s="10612"/>
      <c r="AD129" s="10603">
        <v>0</v>
      </c>
    </row>
    <row s="36397" customFormat="1" customHeight="1" ht="22.5">
      <c r="A130" s="10603"/>
      <c r="B130" s="10604" t="s">
        <v>1009</v>
      </c>
      <c r="C130" s="10605" t="s">
        <v>103</v>
      </c>
      <c r="D130" s="10606" t="str">
        <f>B130&amp;".1"</f>
        <v>3.32.1</v>
      </c>
      <c r="E130" s="10607" t="s">
        <v>963</v>
      </c>
      <c r="F130" s="10608" t="s">
        <v>324</v>
      </c>
      <c r="G130" s="10609" t="s">
        <v>22</v>
      </c>
      <c r="H130" s="10610" t="s">
        <v>22</v>
      </c>
      <c r="I130" s="10609" t="s">
        <v>981</v>
      </c>
      <c r="J130" s="10610" t="s">
        <v>22</v>
      </c>
      <c r="K130" s="10609" t="s">
        <v>981</v>
      </c>
      <c r="L130" s="10610" t="s">
        <v>22</v>
      </c>
      <c r="M130" s="10609" t="s">
        <v>22</v>
      </c>
      <c r="N130" s="10610" t="s">
        <v>22</v>
      </c>
      <c r="O130" s="29692" t="s">
        <v>22</v>
      </c>
      <c r="P130" s="29693" t="s">
        <v>22</v>
      </c>
      <c r="Q130" s="10609" t="s">
        <v>22</v>
      </c>
      <c r="R130" s="10610" t="s">
        <v>22</v>
      </c>
      <c r="S130" s="10611"/>
      <c r="T130" s="10603"/>
      <c r="U130" s="10603"/>
      <c r="V130" s="10603"/>
      <c r="W130" s="10603"/>
      <c r="X130" s="10603"/>
      <c r="Y130" s="10603"/>
      <c r="Z130" s="10603"/>
      <c r="AA130" s="10603"/>
      <c r="AB130" s="10603"/>
      <c r="AC130" s="10612"/>
      <c r="AD130" s="10603">
        <v>0</v>
      </c>
    </row>
    <row s="36398" customFormat="1" customHeight="1" ht="15">
      <c r="A131" s="10603"/>
      <c r="B131" s="10604"/>
      <c r="C131" s="10605"/>
      <c r="D131" s="10606" t="str">
        <f>B130&amp;".2"</f>
        <v>3.32.2</v>
      </c>
      <c r="E131" s="10607" t="s">
        <v>964</v>
      </c>
      <c r="F131" s="10608" t="s">
        <v>324</v>
      </c>
      <c r="G131" s="10582" t="s">
        <v>22</v>
      </c>
      <c r="H131" s="10610" t="s">
        <v>22</v>
      </c>
      <c r="I131" s="19680">
        <v>45390</v>
      </c>
      <c r="J131" s="10610" t="s">
        <v>22</v>
      </c>
      <c r="K131" s="10582">
        <v>45399</v>
      </c>
      <c r="L131" s="10610" t="s">
        <v>22</v>
      </c>
      <c r="M131" s="10582" t="s">
        <v>22</v>
      </c>
      <c r="N131" s="10610" t="s">
        <v>22</v>
      </c>
      <c r="O131" s="29697" t="s">
        <v>22</v>
      </c>
      <c r="P131" s="29693" t="s">
        <v>22</v>
      </c>
      <c r="Q131" s="10582" t="s">
        <v>22</v>
      </c>
      <c r="R131" s="10610" t="s">
        <v>22</v>
      </c>
      <c r="S131" s="10611" t="s">
        <v>965</v>
      </c>
      <c r="T131" s="10603"/>
      <c r="U131" s="10603"/>
      <c r="V131" s="10603"/>
      <c r="W131" s="10603"/>
      <c r="X131" s="10603"/>
      <c r="Y131" s="10603"/>
      <c r="Z131" s="10603"/>
      <c r="AA131" s="10603"/>
      <c r="AB131" s="10603"/>
      <c r="AC131" s="10612"/>
      <c r="AD131" s="10603">
        <v>0</v>
      </c>
    </row>
    <row s="36399" customFormat="1" customHeight="1" ht="15">
      <c r="A132" s="10603"/>
      <c r="B132" s="10604"/>
      <c r="C132" s="10605"/>
      <c r="D132" s="10606" t="str">
        <f>B130&amp;".3"</f>
        <v>3.32.3</v>
      </c>
      <c r="E132" s="10607" t="s">
        <v>966</v>
      </c>
      <c r="F132" s="10608" t="s">
        <v>324</v>
      </c>
      <c r="G132" s="10582" t="s">
        <v>22</v>
      </c>
      <c r="H132" s="10610" t="s">
        <v>22</v>
      </c>
      <c r="I132" s="19680" t="s">
        <v>22</v>
      </c>
      <c r="J132" s="10610" t="s">
        <v>22</v>
      </c>
      <c r="K132" s="10582" t="s">
        <v>22</v>
      </c>
      <c r="L132" s="10610" t="s">
        <v>22</v>
      </c>
      <c r="M132" s="10582" t="s">
        <v>22</v>
      </c>
      <c r="N132" s="10610" t="s">
        <v>22</v>
      </c>
      <c r="O132" s="29697" t="s">
        <v>22</v>
      </c>
      <c r="P132" s="29693" t="s">
        <v>22</v>
      </c>
      <c r="Q132" s="10582" t="s">
        <v>22</v>
      </c>
      <c r="R132" s="10610" t="s">
        <v>22</v>
      </c>
      <c r="S132" s="10611" t="s">
        <v>967</v>
      </c>
      <c r="T132" s="10603"/>
      <c r="U132" s="10603"/>
      <c r="V132" s="10603"/>
      <c r="W132" s="10603"/>
      <c r="X132" s="10603"/>
      <c r="Y132" s="10603"/>
      <c r="Z132" s="10603"/>
      <c r="AA132" s="10603"/>
      <c r="AB132" s="10603"/>
      <c r="AC132" s="10612"/>
      <c r="AD132" s="10603">
        <v>0</v>
      </c>
    </row>
    <row s="36400" customFormat="1" customHeight="1" ht="22.5">
      <c r="A133" s="10603"/>
      <c r="B133" s="10604" t="s">
        <v>1010</v>
      </c>
      <c r="C133" s="10605" t="s">
        <v>103</v>
      </c>
      <c r="D133" s="10606" t="str">
        <f>B133&amp;".1"</f>
        <v>3.33.1</v>
      </c>
      <c r="E133" s="10607" t="s">
        <v>963</v>
      </c>
      <c r="F133" s="10608" t="s">
        <v>324</v>
      </c>
      <c r="G133" s="10609" t="s">
        <v>22</v>
      </c>
      <c r="H133" s="10610" t="s">
        <v>22</v>
      </c>
      <c r="I133" s="10609" t="s">
        <v>981</v>
      </c>
      <c r="J133" s="10610" t="s">
        <v>22</v>
      </c>
      <c r="K133" s="10609" t="s">
        <v>981</v>
      </c>
      <c r="L133" s="10610" t="s">
        <v>22</v>
      </c>
      <c r="M133" s="10609" t="s">
        <v>22</v>
      </c>
      <c r="N133" s="10610" t="s">
        <v>22</v>
      </c>
      <c r="O133" s="29692" t="s">
        <v>22</v>
      </c>
      <c r="P133" s="29693" t="s">
        <v>22</v>
      </c>
      <c r="Q133" s="10609" t="s">
        <v>22</v>
      </c>
      <c r="R133" s="10610" t="s">
        <v>22</v>
      </c>
      <c r="S133" s="10611"/>
      <c r="T133" s="10603"/>
      <c r="U133" s="10603"/>
      <c r="V133" s="10603"/>
      <c r="W133" s="10603"/>
      <c r="X133" s="10603"/>
      <c r="Y133" s="10603"/>
      <c r="Z133" s="10603"/>
      <c r="AA133" s="10603"/>
      <c r="AB133" s="10603"/>
      <c r="AC133" s="10612"/>
      <c r="AD133" s="10603">
        <v>0</v>
      </c>
    </row>
    <row s="36401" customFormat="1" customHeight="1" ht="15">
      <c r="A134" s="10603"/>
      <c r="B134" s="10604"/>
      <c r="C134" s="10605"/>
      <c r="D134" s="10606" t="str">
        <f>B133&amp;".2"</f>
        <v>3.33.2</v>
      </c>
      <c r="E134" s="10607" t="s">
        <v>964</v>
      </c>
      <c r="F134" s="10608" t="s">
        <v>324</v>
      </c>
      <c r="G134" s="10582" t="s">
        <v>22</v>
      </c>
      <c r="H134" s="10610" t="s">
        <v>22</v>
      </c>
      <c r="I134" s="19680">
        <v>45390</v>
      </c>
      <c r="J134" s="10610" t="s">
        <v>22</v>
      </c>
      <c r="K134" s="10582">
        <v>45399.65331018518</v>
      </c>
      <c r="L134" s="10610" t="s">
        <v>22</v>
      </c>
      <c r="M134" s="10582" t="s">
        <v>22</v>
      </c>
      <c r="N134" s="10610" t="s">
        <v>22</v>
      </c>
      <c r="O134" s="29697" t="s">
        <v>22</v>
      </c>
      <c r="P134" s="29693" t="s">
        <v>22</v>
      </c>
      <c r="Q134" s="10582" t="s">
        <v>22</v>
      </c>
      <c r="R134" s="10610" t="s">
        <v>22</v>
      </c>
      <c r="S134" s="10611" t="s">
        <v>965</v>
      </c>
      <c r="T134" s="10603"/>
      <c r="U134" s="10603"/>
      <c r="V134" s="10603"/>
      <c r="W134" s="10603"/>
      <c r="X134" s="10603"/>
      <c r="Y134" s="10603"/>
      <c r="Z134" s="10603"/>
      <c r="AA134" s="10603"/>
      <c r="AB134" s="10603"/>
      <c r="AC134" s="10612"/>
      <c r="AD134" s="10603">
        <v>0</v>
      </c>
    </row>
    <row s="36402" customFormat="1" customHeight="1" ht="15">
      <c r="A135" s="10603"/>
      <c r="B135" s="10604"/>
      <c r="C135" s="10605"/>
      <c r="D135" s="10606" t="str">
        <f>B133&amp;".3"</f>
        <v>3.33.3</v>
      </c>
      <c r="E135" s="10607" t="s">
        <v>966</v>
      </c>
      <c r="F135" s="10608" t="s">
        <v>324</v>
      </c>
      <c r="G135" s="10582" t="s">
        <v>22</v>
      </c>
      <c r="H135" s="10610" t="s">
        <v>22</v>
      </c>
      <c r="I135" s="19680" t="s">
        <v>22</v>
      </c>
      <c r="J135" s="10610" t="s">
        <v>22</v>
      </c>
      <c r="K135" s="10582" t="s">
        <v>22</v>
      </c>
      <c r="L135" s="10610" t="s">
        <v>22</v>
      </c>
      <c r="M135" s="10582" t="s">
        <v>22</v>
      </c>
      <c r="N135" s="10610" t="s">
        <v>22</v>
      </c>
      <c r="O135" s="29697" t="s">
        <v>22</v>
      </c>
      <c r="P135" s="29693" t="s">
        <v>22</v>
      </c>
      <c r="Q135" s="10582" t="s">
        <v>22</v>
      </c>
      <c r="R135" s="10610" t="s">
        <v>22</v>
      </c>
      <c r="S135" s="10611" t="s">
        <v>967</v>
      </c>
      <c r="T135" s="10603"/>
      <c r="U135" s="10603"/>
      <c r="V135" s="10603"/>
      <c r="W135" s="10603"/>
      <c r="X135" s="10603"/>
      <c r="Y135" s="10603"/>
      <c r="Z135" s="10603"/>
      <c r="AA135" s="10603"/>
      <c r="AB135" s="10603"/>
      <c r="AC135" s="10612"/>
      <c r="AD135" s="10603">
        <v>0</v>
      </c>
    </row>
    <row s="36403" customFormat="1" customHeight="1" ht="22.5">
      <c r="A136" s="10603"/>
      <c r="B136" s="10604" t="s">
        <v>1011</v>
      </c>
      <c r="C136" s="10605" t="s">
        <v>103</v>
      </c>
      <c r="D136" s="10606" t="str">
        <f>B136&amp;".1"</f>
        <v>3.34.1</v>
      </c>
      <c r="E136" s="10607" t="s">
        <v>963</v>
      </c>
      <c r="F136" s="10608" t="s">
        <v>324</v>
      </c>
      <c r="G136" s="10609" t="s">
        <v>22</v>
      </c>
      <c r="H136" s="10610" t="s">
        <v>22</v>
      </c>
      <c r="I136" s="10609" t="s">
        <v>981</v>
      </c>
      <c r="J136" s="10610" t="s">
        <v>22</v>
      </c>
      <c r="K136" s="10609" t="s">
        <v>981</v>
      </c>
      <c r="L136" s="10610" t="s">
        <v>22</v>
      </c>
      <c r="M136" s="10609" t="s">
        <v>22</v>
      </c>
      <c r="N136" s="10610" t="s">
        <v>22</v>
      </c>
      <c r="O136" s="29692" t="s">
        <v>22</v>
      </c>
      <c r="P136" s="29693" t="s">
        <v>22</v>
      </c>
      <c r="Q136" s="10609" t="s">
        <v>22</v>
      </c>
      <c r="R136" s="10610" t="s">
        <v>22</v>
      </c>
      <c r="S136" s="10611"/>
      <c r="T136" s="10603"/>
      <c r="U136" s="10603"/>
      <c r="V136" s="10603"/>
      <c r="W136" s="10603"/>
      <c r="X136" s="10603"/>
      <c r="Y136" s="10603"/>
      <c r="Z136" s="10603"/>
      <c r="AA136" s="10603"/>
      <c r="AB136" s="10603"/>
      <c r="AC136" s="10612"/>
      <c r="AD136" s="10603">
        <v>0</v>
      </c>
    </row>
    <row s="36404" customFormat="1" customHeight="1" ht="15">
      <c r="A137" s="10603"/>
      <c r="B137" s="10604"/>
      <c r="C137" s="10605"/>
      <c r="D137" s="10606" t="str">
        <f>B136&amp;".2"</f>
        <v>3.34.2</v>
      </c>
      <c r="E137" s="10607" t="s">
        <v>964</v>
      </c>
      <c r="F137" s="10608" t="s">
        <v>324</v>
      </c>
      <c r="G137" s="10582" t="s">
        <v>22</v>
      </c>
      <c r="H137" s="10610" t="s">
        <v>22</v>
      </c>
      <c r="I137" s="19680">
        <v>45390</v>
      </c>
      <c r="J137" s="10610" t="s">
        <v>22</v>
      </c>
      <c r="K137" s="10582">
        <v>45399.65594907408</v>
      </c>
      <c r="L137" s="10610" t="s">
        <v>22</v>
      </c>
      <c r="M137" s="10582" t="s">
        <v>22</v>
      </c>
      <c r="N137" s="10610" t="s">
        <v>22</v>
      </c>
      <c r="O137" s="29697" t="s">
        <v>22</v>
      </c>
      <c r="P137" s="29693" t="s">
        <v>22</v>
      </c>
      <c r="Q137" s="10582" t="s">
        <v>22</v>
      </c>
      <c r="R137" s="10610" t="s">
        <v>22</v>
      </c>
      <c r="S137" s="10611" t="s">
        <v>965</v>
      </c>
      <c r="T137" s="10603"/>
      <c r="U137" s="10603"/>
      <c r="V137" s="10603"/>
      <c r="W137" s="10603"/>
      <c r="X137" s="10603"/>
      <c r="Y137" s="10603"/>
      <c r="Z137" s="10603"/>
      <c r="AA137" s="10603"/>
      <c r="AB137" s="10603"/>
      <c r="AC137" s="10612"/>
      <c r="AD137" s="10603">
        <v>0</v>
      </c>
    </row>
    <row s="36405" customFormat="1" customHeight="1" ht="15">
      <c r="A138" s="10603"/>
      <c r="B138" s="10604"/>
      <c r="C138" s="10605"/>
      <c r="D138" s="10606" t="str">
        <f>B136&amp;".3"</f>
        <v>3.34.3</v>
      </c>
      <c r="E138" s="10607" t="s">
        <v>966</v>
      </c>
      <c r="F138" s="10608" t="s">
        <v>324</v>
      </c>
      <c r="G138" s="10582" t="s">
        <v>22</v>
      </c>
      <c r="H138" s="10610" t="s">
        <v>22</v>
      </c>
      <c r="I138" s="19680" t="s">
        <v>22</v>
      </c>
      <c r="J138" s="10610" t="s">
        <v>22</v>
      </c>
      <c r="K138" s="10582" t="s">
        <v>22</v>
      </c>
      <c r="L138" s="10610" t="s">
        <v>22</v>
      </c>
      <c r="M138" s="10582" t="s">
        <v>22</v>
      </c>
      <c r="N138" s="10610" t="s">
        <v>22</v>
      </c>
      <c r="O138" s="29697" t="s">
        <v>22</v>
      </c>
      <c r="P138" s="29693" t="s">
        <v>22</v>
      </c>
      <c r="Q138" s="10582" t="s">
        <v>22</v>
      </c>
      <c r="R138" s="10610" t="s">
        <v>22</v>
      </c>
      <c r="S138" s="10611" t="s">
        <v>967</v>
      </c>
      <c r="T138" s="10603"/>
      <c r="U138" s="10603"/>
      <c r="V138" s="10603"/>
      <c r="W138" s="10603"/>
      <c r="X138" s="10603"/>
      <c r="Y138" s="10603"/>
      <c r="Z138" s="10603"/>
      <c r="AA138" s="10603"/>
      <c r="AB138" s="10603"/>
      <c r="AC138" s="10612"/>
      <c r="AD138" s="10603">
        <v>0</v>
      </c>
    </row>
    <row s="36406" customFormat="1" customHeight="1" ht="22.5">
      <c r="A139" s="10603"/>
      <c r="B139" s="10604" t="s">
        <v>1012</v>
      </c>
      <c r="C139" s="10605" t="s">
        <v>103</v>
      </c>
      <c r="D139" s="10606" t="str">
        <f>B139&amp;".1"</f>
        <v>3.35.1</v>
      </c>
      <c r="E139" s="10607" t="s">
        <v>963</v>
      </c>
      <c r="F139" s="10608" t="s">
        <v>324</v>
      </c>
      <c r="G139" s="10609" t="s">
        <v>22</v>
      </c>
      <c r="H139" s="10610" t="s">
        <v>22</v>
      </c>
      <c r="I139" s="10609" t="s">
        <v>981</v>
      </c>
      <c r="J139" s="10610" t="s">
        <v>22</v>
      </c>
      <c r="K139" s="10609" t="s">
        <v>981</v>
      </c>
      <c r="L139" s="10610" t="s">
        <v>22</v>
      </c>
      <c r="M139" s="10609" t="s">
        <v>22</v>
      </c>
      <c r="N139" s="10610" t="s">
        <v>22</v>
      </c>
      <c r="O139" s="29692" t="s">
        <v>22</v>
      </c>
      <c r="P139" s="29693" t="s">
        <v>22</v>
      </c>
      <c r="Q139" s="10609" t="s">
        <v>22</v>
      </c>
      <c r="R139" s="10610" t="s">
        <v>22</v>
      </c>
      <c r="S139" s="10611"/>
      <c r="T139" s="10603"/>
      <c r="U139" s="10603"/>
      <c r="V139" s="10603"/>
      <c r="W139" s="10603"/>
      <c r="X139" s="10603"/>
      <c r="Y139" s="10603"/>
      <c r="Z139" s="10603"/>
      <c r="AA139" s="10603"/>
      <c r="AB139" s="10603"/>
      <c r="AC139" s="10612"/>
      <c r="AD139" s="10603">
        <v>0</v>
      </c>
    </row>
    <row s="36407" customFormat="1" customHeight="1" ht="15">
      <c r="A140" s="10603"/>
      <c r="B140" s="10604"/>
      <c r="C140" s="10605"/>
      <c r="D140" s="10606" t="str">
        <f>B139&amp;".2"</f>
        <v>3.35.2</v>
      </c>
      <c r="E140" s="10607" t="s">
        <v>964</v>
      </c>
      <c r="F140" s="10608" t="s">
        <v>324</v>
      </c>
      <c r="G140" s="10582" t="s">
        <v>22</v>
      </c>
      <c r="H140" s="10610" t="s">
        <v>22</v>
      </c>
      <c r="I140" s="19680">
        <v>45391</v>
      </c>
      <c r="J140" s="10610" t="s">
        <v>22</v>
      </c>
      <c r="K140" s="23000">
        <v>45401.65589120371</v>
      </c>
      <c r="L140" s="10610" t="s">
        <v>22</v>
      </c>
      <c r="M140" s="10582" t="s">
        <v>22</v>
      </c>
      <c r="N140" s="10610" t="s">
        <v>22</v>
      </c>
      <c r="O140" s="29697" t="s">
        <v>22</v>
      </c>
      <c r="P140" s="29693" t="s">
        <v>22</v>
      </c>
      <c r="Q140" s="10582" t="s">
        <v>22</v>
      </c>
      <c r="R140" s="10610" t="s">
        <v>22</v>
      </c>
      <c r="S140" s="10611" t="s">
        <v>965</v>
      </c>
      <c r="T140" s="10603"/>
      <c r="U140" s="10603"/>
      <c r="V140" s="10603"/>
      <c r="W140" s="10603"/>
      <c r="X140" s="10603"/>
      <c r="Y140" s="10603"/>
      <c r="Z140" s="10603"/>
      <c r="AA140" s="10603"/>
      <c r="AB140" s="10603"/>
      <c r="AC140" s="10612"/>
      <c r="AD140" s="10603">
        <v>0</v>
      </c>
    </row>
    <row s="36408" customFormat="1" customHeight="1" ht="15">
      <c r="A141" s="10603"/>
      <c r="B141" s="10604"/>
      <c r="C141" s="10605"/>
      <c r="D141" s="10606" t="str">
        <f>B139&amp;".3"</f>
        <v>3.35.3</v>
      </c>
      <c r="E141" s="10607" t="s">
        <v>966</v>
      </c>
      <c r="F141" s="10608" t="s">
        <v>324</v>
      </c>
      <c r="G141" s="10582" t="s">
        <v>22</v>
      </c>
      <c r="H141" s="10610" t="s">
        <v>22</v>
      </c>
      <c r="I141" s="19680" t="s">
        <v>22</v>
      </c>
      <c r="J141" s="10610" t="s">
        <v>22</v>
      </c>
      <c r="K141" s="10582" t="s">
        <v>22</v>
      </c>
      <c r="L141" s="10610" t="s">
        <v>22</v>
      </c>
      <c r="M141" s="10582" t="s">
        <v>22</v>
      </c>
      <c r="N141" s="10610" t="s">
        <v>22</v>
      </c>
      <c r="O141" s="29697" t="s">
        <v>22</v>
      </c>
      <c r="P141" s="29693" t="s">
        <v>22</v>
      </c>
      <c r="Q141" s="10582" t="s">
        <v>22</v>
      </c>
      <c r="R141" s="10610" t="s">
        <v>22</v>
      </c>
      <c r="S141" s="10611" t="s">
        <v>967</v>
      </c>
      <c r="T141" s="10603"/>
      <c r="U141" s="10603"/>
      <c r="V141" s="10603"/>
      <c r="W141" s="10603"/>
      <c r="X141" s="10603"/>
      <c r="Y141" s="10603"/>
      <c r="Z141" s="10603"/>
      <c r="AA141" s="10603"/>
      <c r="AB141" s="10603"/>
      <c r="AC141" s="10612"/>
      <c r="AD141" s="10603">
        <v>0</v>
      </c>
    </row>
    <row s="36409" customFormat="1" customHeight="1" ht="22.5">
      <c r="A142" s="10603"/>
      <c r="B142" s="10604" t="s">
        <v>1013</v>
      </c>
      <c r="C142" s="10605" t="s">
        <v>103</v>
      </c>
      <c r="D142" s="10606" t="str">
        <f>B142&amp;".1"</f>
        <v>3.36.1</v>
      </c>
      <c r="E142" s="10607" t="s">
        <v>963</v>
      </c>
      <c r="F142" s="10608" t="s">
        <v>324</v>
      </c>
      <c r="G142" s="10609" t="s">
        <v>22</v>
      </c>
      <c r="H142" s="10610" t="s">
        <v>22</v>
      </c>
      <c r="I142" s="10609" t="s">
        <v>981</v>
      </c>
      <c r="J142" s="10610" t="s">
        <v>22</v>
      </c>
      <c r="K142" s="10609" t="s">
        <v>981</v>
      </c>
      <c r="L142" s="10610" t="s">
        <v>22</v>
      </c>
      <c r="M142" s="10609" t="s">
        <v>22</v>
      </c>
      <c r="N142" s="10610" t="s">
        <v>22</v>
      </c>
      <c r="O142" s="29692" t="s">
        <v>22</v>
      </c>
      <c r="P142" s="29693" t="s">
        <v>22</v>
      </c>
      <c r="Q142" s="10609" t="s">
        <v>22</v>
      </c>
      <c r="R142" s="10610" t="s">
        <v>22</v>
      </c>
      <c r="S142" s="10611"/>
      <c r="T142" s="10603"/>
      <c r="U142" s="10603"/>
      <c r="V142" s="10603"/>
      <c r="W142" s="10603"/>
      <c r="X142" s="10603"/>
      <c r="Y142" s="10603"/>
      <c r="Z142" s="10603"/>
      <c r="AA142" s="10603"/>
      <c r="AB142" s="10603"/>
      <c r="AC142" s="10612"/>
      <c r="AD142" s="10603">
        <v>0</v>
      </c>
    </row>
    <row s="36410" customFormat="1" customHeight="1" ht="15">
      <c r="A143" s="10603"/>
      <c r="B143" s="10604"/>
      <c r="C143" s="10605"/>
      <c r="D143" s="10606" t="str">
        <f>B142&amp;".2"</f>
        <v>3.36.2</v>
      </c>
      <c r="E143" s="10607" t="s">
        <v>964</v>
      </c>
      <c r="F143" s="10608" t="s">
        <v>324</v>
      </c>
      <c r="G143" s="10582" t="s">
        <v>22</v>
      </c>
      <c r="H143" s="10610" t="s">
        <v>22</v>
      </c>
      <c r="I143" s="19680">
        <v>45392</v>
      </c>
      <c r="J143" s="10610" t="s">
        <v>22</v>
      </c>
      <c r="K143" s="10582">
        <v>45401.65577546296</v>
      </c>
      <c r="L143" s="10610" t="s">
        <v>22</v>
      </c>
      <c r="M143" s="10582" t="s">
        <v>22</v>
      </c>
      <c r="N143" s="10610" t="s">
        <v>22</v>
      </c>
      <c r="O143" s="29697" t="s">
        <v>22</v>
      </c>
      <c r="P143" s="29693" t="s">
        <v>22</v>
      </c>
      <c r="Q143" s="10582" t="s">
        <v>22</v>
      </c>
      <c r="R143" s="10610" t="s">
        <v>22</v>
      </c>
      <c r="S143" s="10611" t="s">
        <v>965</v>
      </c>
      <c r="T143" s="10603"/>
      <c r="U143" s="10603"/>
      <c r="V143" s="10603"/>
      <c r="W143" s="10603"/>
      <c r="X143" s="10603"/>
      <c r="Y143" s="10603"/>
      <c r="Z143" s="10603"/>
      <c r="AA143" s="10603"/>
      <c r="AB143" s="10603"/>
      <c r="AC143" s="10612"/>
      <c r="AD143" s="10603">
        <v>0</v>
      </c>
    </row>
    <row s="36411" customFormat="1" customHeight="1" ht="15">
      <c r="A144" s="10603"/>
      <c r="B144" s="10604"/>
      <c r="C144" s="10605"/>
      <c r="D144" s="10606" t="str">
        <f>B142&amp;".3"</f>
        <v>3.36.3</v>
      </c>
      <c r="E144" s="10607" t="s">
        <v>966</v>
      </c>
      <c r="F144" s="10608" t="s">
        <v>324</v>
      </c>
      <c r="G144" s="10582" t="s">
        <v>22</v>
      </c>
      <c r="H144" s="10610" t="s">
        <v>22</v>
      </c>
      <c r="I144" s="19680" t="s">
        <v>22</v>
      </c>
      <c r="J144" s="10610" t="s">
        <v>22</v>
      </c>
      <c r="K144" s="10582" t="s">
        <v>22</v>
      </c>
      <c r="L144" s="10610" t="s">
        <v>22</v>
      </c>
      <c r="M144" s="10582" t="s">
        <v>22</v>
      </c>
      <c r="N144" s="10610" t="s">
        <v>22</v>
      </c>
      <c r="O144" s="29697" t="s">
        <v>22</v>
      </c>
      <c r="P144" s="29693" t="s">
        <v>22</v>
      </c>
      <c r="Q144" s="10582" t="s">
        <v>22</v>
      </c>
      <c r="R144" s="10610" t="s">
        <v>22</v>
      </c>
      <c r="S144" s="10611" t="s">
        <v>967</v>
      </c>
      <c r="T144" s="10603"/>
      <c r="U144" s="10603"/>
      <c r="V144" s="10603"/>
      <c r="W144" s="10603"/>
      <c r="X144" s="10603"/>
      <c r="Y144" s="10603"/>
      <c r="Z144" s="10603"/>
      <c r="AA144" s="10603"/>
      <c r="AB144" s="10603"/>
      <c r="AC144" s="10612"/>
      <c r="AD144" s="10603">
        <v>0</v>
      </c>
    </row>
    <row s="36412" customFormat="1" customHeight="1" ht="22.5">
      <c r="A145" s="10603"/>
      <c r="B145" s="10604" t="s">
        <v>1014</v>
      </c>
      <c r="C145" s="10605" t="s">
        <v>103</v>
      </c>
      <c r="D145" s="10606" t="str">
        <f>B145&amp;".1"</f>
        <v>3.37.1</v>
      </c>
      <c r="E145" s="10607" t="s">
        <v>963</v>
      </c>
      <c r="F145" s="10608" t="s">
        <v>324</v>
      </c>
      <c r="G145" s="10609" t="s">
        <v>22</v>
      </c>
      <c r="H145" s="10610" t="s">
        <v>22</v>
      </c>
      <c r="I145" s="10609" t="s">
        <v>981</v>
      </c>
      <c r="J145" s="10610" t="s">
        <v>22</v>
      </c>
      <c r="K145" s="10609" t="s">
        <v>981</v>
      </c>
      <c r="L145" s="10610" t="s">
        <v>22</v>
      </c>
      <c r="M145" s="10609" t="s">
        <v>22</v>
      </c>
      <c r="N145" s="10610" t="s">
        <v>22</v>
      </c>
      <c r="O145" s="29692" t="s">
        <v>22</v>
      </c>
      <c r="P145" s="29693" t="s">
        <v>22</v>
      </c>
      <c r="Q145" s="10609" t="s">
        <v>22</v>
      </c>
      <c r="R145" s="10610" t="s">
        <v>22</v>
      </c>
      <c r="S145" s="10611"/>
      <c r="T145" s="10603"/>
      <c r="U145" s="10603"/>
      <c r="V145" s="10603"/>
      <c r="W145" s="10603"/>
      <c r="X145" s="10603"/>
      <c r="Y145" s="10603"/>
      <c r="Z145" s="10603"/>
      <c r="AA145" s="10603"/>
      <c r="AB145" s="10603"/>
      <c r="AC145" s="10612"/>
      <c r="AD145" s="10603">
        <v>0</v>
      </c>
    </row>
    <row s="36413" customFormat="1" customHeight="1" ht="15">
      <c r="A146" s="10603"/>
      <c r="B146" s="10604"/>
      <c r="C146" s="10605"/>
      <c r="D146" s="10606" t="str">
        <f>B145&amp;".2"</f>
        <v>3.37.2</v>
      </c>
      <c r="E146" s="10607" t="s">
        <v>964</v>
      </c>
      <c r="F146" s="10608" t="s">
        <v>324</v>
      </c>
      <c r="G146" s="10582" t="s">
        <v>22</v>
      </c>
      <c r="H146" s="10610" t="s">
        <v>22</v>
      </c>
      <c r="I146" s="19680">
        <v>45392</v>
      </c>
      <c r="J146" s="10610" t="s">
        <v>22</v>
      </c>
      <c r="K146" s="10582">
        <v>45401</v>
      </c>
      <c r="L146" s="10610" t="s">
        <v>22</v>
      </c>
      <c r="M146" s="10582" t="s">
        <v>22</v>
      </c>
      <c r="N146" s="10610" t="s">
        <v>22</v>
      </c>
      <c r="O146" s="29697" t="s">
        <v>22</v>
      </c>
      <c r="P146" s="29693" t="s">
        <v>22</v>
      </c>
      <c r="Q146" s="10582" t="s">
        <v>22</v>
      </c>
      <c r="R146" s="10610" t="s">
        <v>22</v>
      </c>
      <c r="S146" s="10611" t="s">
        <v>965</v>
      </c>
      <c r="T146" s="10603"/>
      <c r="U146" s="10603"/>
      <c r="V146" s="10603"/>
      <c r="W146" s="10603"/>
      <c r="X146" s="10603"/>
      <c r="Y146" s="10603"/>
      <c r="Z146" s="10603"/>
      <c r="AA146" s="10603"/>
      <c r="AB146" s="10603"/>
      <c r="AC146" s="10612"/>
      <c r="AD146" s="10603">
        <v>0</v>
      </c>
    </row>
    <row s="36414" customFormat="1" customHeight="1" ht="15">
      <c r="A147" s="10603"/>
      <c r="B147" s="10604"/>
      <c r="C147" s="10605"/>
      <c r="D147" s="10606" t="str">
        <f>B145&amp;".3"</f>
        <v>3.37.3</v>
      </c>
      <c r="E147" s="10607" t="s">
        <v>966</v>
      </c>
      <c r="F147" s="10608" t="s">
        <v>324</v>
      </c>
      <c r="G147" s="10582" t="s">
        <v>22</v>
      </c>
      <c r="H147" s="10610" t="s">
        <v>22</v>
      </c>
      <c r="I147" s="16577" t="s">
        <v>22</v>
      </c>
      <c r="J147" s="10610" t="s">
        <v>22</v>
      </c>
      <c r="K147" s="10582" t="s">
        <v>22</v>
      </c>
      <c r="L147" s="10610" t="s">
        <v>22</v>
      </c>
      <c r="M147" s="10582" t="s">
        <v>22</v>
      </c>
      <c r="N147" s="10610" t="s">
        <v>22</v>
      </c>
      <c r="O147" s="29697" t="s">
        <v>22</v>
      </c>
      <c r="P147" s="29693" t="s">
        <v>22</v>
      </c>
      <c r="Q147" s="10582" t="s">
        <v>22</v>
      </c>
      <c r="R147" s="10610" t="s">
        <v>22</v>
      </c>
      <c r="S147" s="10611" t="s">
        <v>967</v>
      </c>
      <c r="T147" s="10603"/>
      <c r="U147" s="10603"/>
      <c r="V147" s="10603"/>
      <c r="W147" s="10603"/>
      <c r="X147" s="10603"/>
      <c r="Y147" s="10603"/>
      <c r="Z147" s="10603"/>
      <c r="AA147" s="10603"/>
      <c r="AB147" s="10603"/>
      <c r="AC147" s="10612"/>
      <c r="AD147" s="10603">
        <v>0</v>
      </c>
    </row>
    <row s="36415" customFormat="1" customHeight="1" ht="22.5">
      <c r="A148" s="10603"/>
      <c r="B148" s="10604" t="s">
        <v>1015</v>
      </c>
      <c r="C148" s="10605" t="s">
        <v>103</v>
      </c>
      <c r="D148" s="10606" t="str">
        <f>B148&amp;".1"</f>
        <v>3.38.1</v>
      </c>
      <c r="E148" s="10607" t="s">
        <v>963</v>
      </c>
      <c r="F148" s="10608" t="s">
        <v>324</v>
      </c>
      <c r="G148" s="10609" t="s">
        <v>22</v>
      </c>
      <c r="H148" s="10610" t="s">
        <v>22</v>
      </c>
      <c r="I148" s="10609" t="s">
        <v>981</v>
      </c>
      <c r="J148" s="10610" t="s">
        <v>22</v>
      </c>
      <c r="K148" s="10609" t="s">
        <v>981</v>
      </c>
      <c r="L148" s="10610" t="s">
        <v>22</v>
      </c>
      <c r="M148" s="10609" t="s">
        <v>22</v>
      </c>
      <c r="N148" s="10610" t="s">
        <v>22</v>
      </c>
      <c r="O148" s="29692" t="s">
        <v>22</v>
      </c>
      <c r="P148" s="29693" t="s">
        <v>22</v>
      </c>
      <c r="Q148" s="10609" t="s">
        <v>22</v>
      </c>
      <c r="R148" s="10610" t="s">
        <v>22</v>
      </c>
      <c r="S148" s="10611"/>
      <c r="T148" s="10603"/>
      <c r="U148" s="10603"/>
      <c r="V148" s="10603"/>
      <c r="W148" s="10603"/>
      <c r="X148" s="10603"/>
      <c r="Y148" s="10603"/>
      <c r="Z148" s="10603"/>
      <c r="AA148" s="10603"/>
      <c r="AB148" s="10603"/>
      <c r="AC148" s="10612"/>
      <c r="AD148" s="10603">
        <v>0</v>
      </c>
    </row>
    <row s="36416" customFormat="1" customHeight="1" ht="15">
      <c r="A149" s="10603"/>
      <c r="B149" s="10604"/>
      <c r="C149" s="10605"/>
      <c r="D149" s="10606" t="str">
        <f>B148&amp;".2"</f>
        <v>3.38.2</v>
      </c>
      <c r="E149" s="10607" t="s">
        <v>964</v>
      </c>
      <c r="F149" s="10608" t="s">
        <v>324</v>
      </c>
      <c r="G149" s="10582" t="s">
        <v>22</v>
      </c>
      <c r="H149" s="10610" t="s">
        <v>22</v>
      </c>
      <c r="I149" s="16577">
        <v>45392</v>
      </c>
      <c r="J149" s="10610" t="s">
        <v>22</v>
      </c>
      <c r="K149" s="10582">
        <v>45401</v>
      </c>
      <c r="L149" s="10610" t="s">
        <v>22</v>
      </c>
      <c r="M149" s="10582" t="s">
        <v>22</v>
      </c>
      <c r="N149" s="10610" t="s">
        <v>22</v>
      </c>
      <c r="O149" s="29697" t="s">
        <v>22</v>
      </c>
      <c r="P149" s="29693" t="s">
        <v>22</v>
      </c>
      <c r="Q149" s="10582" t="s">
        <v>22</v>
      </c>
      <c r="R149" s="10610" t="s">
        <v>22</v>
      </c>
      <c r="S149" s="10611" t="s">
        <v>965</v>
      </c>
      <c r="T149" s="10603"/>
      <c r="U149" s="10603"/>
      <c r="V149" s="10603"/>
      <c r="W149" s="10603"/>
      <c r="X149" s="10603"/>
      <c r="Y149" s="10603"/>
      <c r="Z149" s="10603"/>
      <c r="AA149" s="10603"/>
      <c r="AB149" s="10603"/>
      <c r="AC149" s="10612"/>
      <c r="AD149" s="10603">
        <v>0</v>
      </c>
    </row>
    <row s="36417" customFormat="1" customHeight="1" ht="15">
      <c r="A150" s="10603"/>
      <c r="B150" s="10604"/>
      <c r="C150" s="10605"/>
      <c r="D150" s="10606" t="str">
        <f>B148&amp;".3"</f>
        <v>3.38.3</v>
      </c>
      <c r="E150" s="10607" t="s">
        <v>966</v>
      </c>
      <c r="F150" s="10608" t="s">
        <v>324</v>
      </c>
      <c r="G150" s="10582" t="s">
        <v>22</v>
      </c>
      <c r="H150" s="10610" t="s">
        <v>22</v>
      </c>
      <c r="I150" s="16577" t="s">
        <v>22</v>
      </c>
      <c r="J150" s="10610" t="s">
        <v>22</v>
      </c>
      <c r="K150" s="10582" t="s">
        <v>22</v>
      </c>
      <c r="L150" s="10610" t="s">
        <v>22</v>
      </c>
      <c r="M150" s="10582" t="s">
        <v>22</v>
      </c>
      <c r="N150" s="10610" t="s">
        <v>22</v>
      </c>
      <c r="O150" s="29697" t="s">
        <v>22</v>
      </c>
      <c r="P150" s="29693" t="s">
        <v>22</v>
      </c>
      <c r="Q150" s="10582" t="s">
        <v>22</v>
      </c>
      <c r="R150" s="10610" t="s">
        <v>22</v>
      </c>
      <c r="S150" s="10611" t="s">
        <v>967</v>
      </c>
      <c r="T150" s="10603"/>
      <c r="U150" s="10603"/>
      <c r="V150" s="10603"/>
      <c r="W150" s="10603"/>
      <c r="X150" s="10603"/>
      <c r="Y150" s="10603"/>
      <c r="Z150" s="10603"/>
      <c r="AA150" s="10603"/>
      <c r="AB150" s="10603"/>
      <c r="AC150" s="10612"/>
      <c r="AD150" s="10603">
        <v>0</v>
      </c>
    </row>
    <row s="36418" customFormat="1" customHeight="1" ht="22.5">
      <c r="A151" s="10603"/>
      <c r="B151" s="10604" t="s">
        <v>1016</v>
      </c>
      <c r="C151" s="10605" t="s">
        <v>103</v>
      </c>
      <c r="D151" s="10606" t="str">
        <f>B151&amp;".1"</f>
        <v>3.39.1</v>
      </c>
      <c r="E151" s="10607" t="s">
        <v>963</v>
      </c>
      <c r="F151" s="10608" t="s">
        <v>324</v>
      </c>
      <c r="G151" s="10609" t="s">
        <v>22</v>
      </c>
      <c r="H151" s="10610" t="s">
        <v>22</v>
      </c>
      <c r="I151" s="10609" t="s">
        <v>981</v>
      </c>
      <c r="J151" s="10610" t="s">
        <v>22</v>
      </c>
      <c r="K151" s="10609" t="s">
        <v>981</v>
      </c>
      <c r="L151" s="10610" t="s">
        <v>22</v>
      </c>
      <c r="M151" s="10609" t="s">
        <v>22</v>
      </c>
      <c r="N151" s="10610" t="s">
        <v>22</v>
      </c>
      <c r="O151" s="29692" t="s">
        <v>22</v>
      </c>
      <c r="P151" s="29693" t="s">
        <v>22</v>
      </c>
      <c r="Q151" s="10609" t="s">
        <v>22</v>
      </c>
      <c r="R151" s="10610" t="s">
        <v>22</v>
      </c>
      <c r="S151" s="10611"/>
      <c r="T151" s="10603"/>
      <c r="U151" s="10603"/>
      <c r="V151" s="10603"/>
      <c r="W151" s="10603"/>
      <c r="X151" s="10603"/>
      <c r="Y151" s="10603"/>
      <c r="Z151" s="10603"/>
      <c r="AA151" s="10603"/>
      <c r="AB151" s="10603"/>
      <c r="AC151" s="10612"/>
      <c r="AD151" s="10603">
        <v>0</v>
      </c>
    </row>
    <row s="36419" customFormat="1" customHeight="1" ht="15">
      <c r="A152" s="10603"/>
      <c r="B152" s="10604"/>
      <c r="C152" s="10605"/>
      <c r="D152" s="10606" t="str">
        <f>B151&amp;".2"</f>
        <v>3.39.2</v>
      </c>
      <c r="E152" s="10607" t="s">
        <v>964</v>
      </c>
      <c r="F152" s="10608" t="s">
        <v>324</v>
      </c>
      <c r="G152" s="10582" t="s">
        <v>22</v>
      </c>
      <c r="H152" s="10610" t="s">
        <v>22</v>
      </c>
      <c r="I152" s="16577">
        <v>45393</v>
      </c>
      <c r="J152" s="10610" t="s">
        <v>22</v>
      </c>
      <c r="K152" s="10582">
        <v>45401</v>
      </c>
      <c r="L152" s="10610" t="s">
        <v>22</v>
      </c>
      <c r="M152" s="10582" t="s">
        <v>22</v>
      </c>
      <c r="N152" s="10610" t="s">
        <v>22</v>
      </c>
      <c r="O152" s="29697" t="s">
        <v>22</v>
      </c>
      <c r="P152" s="29693" t="s">
        <v>22</v>
      </c>
      <c r="Q152" s="10582" t="s">
        <v>22</v>
      </c>
      <c r="R152" s="10610" t="s">
        <v>22</v>
      </c>
      <c r="S152" s="10611" t="s">
        <v>965</v>
      </c>
      <c r="T152" s="10603"/>
      <c r="U152" s="10603"/>
      <c r="V152" s="10603"/>
      <c r="W152" s="10603"/>
      <c r="X152" s="10603"/>
      <c r="Y152" s="10603"/>
      <c r="Z152" s="10603"/>
      <c r="AA152" s="10603"/>
      <c r="AB152" s="10603"/>
      <c r="AC152" s="10612"/>
      <c r="AD152" s="10603">
        <v>0</v>
      </c>
    </row>
    <row s="36420" customFormat="1" customHeight="1" ht="15">
      <c r="A153" s="10603"/>
      <c r="B153" s="10604"/>
      <c r="C153" s="10605"/>
      <c r="D153" s="10606" t="str">
        <f>B151&amp;".3"</f>
        <v>3.39.3</v>
      </c>
      <c r="E153" s="10607" t="s">
        <v>966</v>
      </c>
      <c r="F153" s="10608" t="s">
        <v>324</v>
      </c>
      <c r="G153" s="10582" t="s">
        <v>22</v>
      </c>
      <c r="H153" s="10610" t="s">
        <v>22</v>
      </c>
      <c r="I153" s="16577" t="s">
        <v>22</v>
      </c>
      <c r="J153" s="10610" t="s">
        <v>22</v>
      </c>
      <c r="K153" s="10582" t="s">
        <v>22</v>
      </c>
      <c r="L153" s="10610" t="s">
        <v>22</v>
      </c>
      <c r="M153" s="10582" t="s">
        <v>22</v>
      </c>
      <c r="N153" s="10610" t="s">
        <v>22</v>
      </c>
      <c r="O153" s="29697" t="s">
        <v>22</v>
      </c>
      <c r="P153" s="29693" t="s">
        <v>22</v>
      </c>
      <c r="Q153" s="10582" t="s">
        <v>22</v>
      </c>
      <c r="R153" s="10610" t="s">
        <v>22</v>
      </c>
      <c r="S153" s="10611" t="s">
        <v>967</v>
      </c>
      <c r="T153" s="10603"/>
      <c r="U153" s="10603"/>
      <c r="V153" s="10603"/>
      <c r="W153" s="10603"/>
      <c r="X153" s="10603"/>
      <c r="Y153" s="10603"/>
      <c r="Z153" s="10603"/>
      <c r="AA153" s="10603"/>
      <c r="AB153" s="10603"/>
      <c r="AC153" s="10612"/>
      <c r="AD153" s="10603">
        <v>0</v>
      </c>
    </row>
    <row s="36421" customFormat="1" customHeight="1" ht="22.5">
      <c r="A154" s="10603"/>
      <c r="B154" s="10604" t="s">
        <v>1017</v>
      </c>
      <c r="C154" s="10605" t="s">
        <v>103</v>
      </c>
      <c r="D154" s="10606" t="str">
        <f>B154&amp;".1"</f>
        <v>3.40.1</v>
      </c>
      <c r="E154" s="10607" t="s">
        <v>963</v>
      </c>
      <c r="F154" s="10608" t="s">
        <v>324</v>
      </c>
      <c r="G154" s="10609" t="s">
        <v>22</v>
      </c>
      <c r="H154" s="10610" t="s">
        <v>22</v>
      </c>
      <c r="I154" s="10609" t="s">
        <v>982</v>
      </c>
      <c r="J154" s="10610" t="s">
        <v>22</v>
      </c>
      <c r="K154" s="10609" t="s">
        <v>981</v>
      </c>
      <c r="L154" s="10610" t="s">
        <v>22</v>
      </c>
      <c r="M154" s="10609" t="s">
        <v>22</v>
      </c>
      <c r="N154" s="10610" t="s">
        <v>22</v>
      </c>
      <c r="O154" s="29692" t="s">
        <v>22</v>
      </c>
      <c r="P154" s="29693" t="s">
        <v>22</v>
      </c>
      <c r="Q154" s="10609" t="s">
        <v>22</v>
      </c>
      <c r="R154" s="10610" t="s">
        <v>22</v>
      </c>
      <c r="S154" s="10611"/>
      <c r="T154" s="10603"/>
      <c r="U154" s="10603"/>
      <c r="V154" s="10603"/>
      <c r="W154" s="10603"/>
      <c r="X154" s="10603"/>
      <c r="Y154" s="10603"/>
      <c r="Z154" s="10603"/>
      <c r="AA154" s="10603"/>
      <c r="AB154" s="10603"/>
      <c r="AC154" s="10612"/>
      <c r="AD154" s="10603">
        <v>0</v>
      </c>
    </row>
    <row s="36422" customFormat="1" customHeight="1" ht="15">
      <c r="A155" s="10603"/>
      <c r="B155" s="10604"/>
      <c r="C155" s="10605"/>
      <c r="D155" s="10606" t="str">
        <f>B154&amp;".2"</f>
        <v>3.40.2</v>
      </c>
      <c r="E155" s="10607" t="s">
        <v>964</v>
      </c>
      <c r="F155" s="10608" t="s">
        <v>324</v>
      </c>
      <c r="G155" s="10582" t="s">
        <v>22</v>
      </c>
      <c r="H155" s="10610" t="s">
        <v>22</v>
      </c>
      <c r="I155" s="16577">
        <v>45393</v>
      </c>
      <c r="J155" s="10610" t="s">
        <v>22</v>
      </c>
      <c r="K155" s="10582">
        <v>45401</v>
      </c>
      <c r="L155" s="10610" t="s">
        <v>22</v>
      </c>
      <c r="M155" s="10582" t="s">
        <v>22</v>
      </c>
      <c r="N155" s="10610" t="s">
        <v>22</v>
      </c>
      <c r="O155" s="29697" t="s">
        <v>22</v>
      </c>
      <c r="P155" s="29693" t="s">
        <v>22</v>
      </c>
      <c r="Q155" s="10582" t="s">
        <v>22</v>
      </c>
      <c r="R155" s="10610" t="s">
        <v>22</v>
      </c>
      <c r="S155" s="10611" t="s">
        <v>965</v>
      </c>
      <c r="T155" s="10603"/>
      <c r="U155" s="10603"/>
      <c r="V155" s="10603"/>
      <c r="W155" s="10603"/>
      <c r="X155" s="10603"/>
      <c r="Y155" s="10603"/>
      <c r="Z155" s="10603"/>
      <c r="AA155" s="10603"/>
      <c r="AB155" s="10603"/>
      <c r="AC155" s="10612"/>
      <c r="AD155" s="10603">
        <v>0</v>
      </c>
    </row>
    <row s="36423" customFormat="1" customHeight="1" ht="15">
      <c r="A156" s="10603"/>
      <c r="B156" s="10604"/>
      <c r="C156" s="10605"/>
      <c r="D156" s="10606" t="str">
        <f>B154&amp;".3"</f>
        <v>3.40.3</v>
      </c>
      <c r="E156" s="10607" t="s">
        <v>966</v>
      </c>
      <c r="F156" s="10608" t="s">
        <v>324</v>
      </c>
      <c r="G156" s="10582" t="s">
        <v>22</v>
      </c>
      <c r="H156" s="10610" t="s">
        <v>22</v>
      </c>
      <c r="I156" s="16577" t="s">
        <v>22</v>
      </c>
      <c r="J156" s="10610" t="s">
        <v>22</v>
      </c>
      <c r="K156" s="10582" t="s">
        <v>22</v>
      </c>
      <c r="L156" s="10610" t="s">
        <v>22</v>
      </c>
      <c r="M156" s="10582" t="s">
        <v>22</v>
      </c>
      <c r="N156" s="10610" t="s">
        <v>22</v>
      </c>
      <c r="O156" s="29697" t="s">
        <v>22</v>
      </c>
      <c r="P156" s="29693" t="s">
        <v>22</v>
      </c>
      <c r="Q156" s="10582" t="s">
        <v>22</v>
      </c>
      <c r="R156" s="10610" t="s">
        <v>22</v>
      </c>
      <c r="S156" s="10611" t="s">
        <v>967</v>
      </c>
      <c r="T156" s="10603"/>
      <c r="U156" s="10603"/>
      <c r="V156" s="10603"/>
      <c r="W156" s="10603"/>
      <c r="X156" s="10603"/>
      <c r="Y156" s="10603"/>
      <c r="Z156" s="10603"/>
      <c r="AA156" s="10603"/>
      <c r="AB156" s="10603"/>
      <c r="AC156" s="10612"/>
      <c r="AD156" s="10603">
        <v>0</v>
      </c>
    </row>
    <row s="36424" customFormat="1" customHeight="1" ht="22.5">
      <c r="A157" s="10603"/>
      <c r="B157" s="10604" t="s">
        <v>1018</v>
      </c>
      <c r="C157" s="10605" t="s">
        <v>103</v>
      </c>
      <c r="D157" s="10606" t="str">
        <f>B157&amp;".1"</f>
        <v>3.41.1</v>
      </c>
      <c r="E157" s="10607" t="s">
        <v>963</v>
      </c>
      <c r="F157" s="10608" t="s">
        <v>324</v>
      </c>
      <c r="G157" s="10609" t="s">
        <v>22</v>
      </c>
      <c r="H157" s="10610" t="s">
        <v>22</v>
      </c>
      <c r="I157" s="10609" t="s">
        <v>982</v>
      </c>
      <c r="J157" s="10610" t="s">
        <v>22</v>
      </c>
      <c r="K157" s="10609" t="s">
        <v>981</v>
      </c>
      <c r="L157" s="10610" t="s">
        <v>22</v>
      </c>
      <c r="M157" s="10609" t="s">
        <v>22</v>
      </c>
      <c r="N157" s="10610" t="s">
        <v>22</v>
      </c>
      <c r="O157" s="29692" t="s">
        <v>22</v>
      </c>
      <c r="P157" s="29693" t="s">
        <v>22</v>
      </c>
      <c r="Q157" s="10609" t="s">
        <v>22</v>
      </c>
      <c r="R157" s="10610" t="s">
        <v>22</v>
      </c>
      <c r="S157" s="10611"/>
      <c r="T157" s="10603"/>
      <c r="U157" s="10603"/>
      <c r="V157" s="10603"/>
      <c r="W157" s="10603"/>
      <c r="X157" s="10603"/>
      <c r="Y157" s="10603"/>
      <c r="Z157" s="10603"/>
      <c r="AA157" s="10603"/>
      <c r="AB157" s="10603"/>
      <c r="AC157" s="10612"/>
      <c r="AD157" s="10603">
        <v>0</v>
      </c>
    </row>
    <row s="36425" customFormat="1" customHeight="1" ht="15">
      <c r="A158" s="10603"/>
      <c r="B158" s="10604"/>
      <c r="C158" s="10605"/>
      <c r="D158" s="10606" t="str">
        <f>B157&amp;".2"</f>
        <v>3.41.2</v>
      </c>
      <c r="E158" s="10607" t="s">
        <v>964</v>
      </c>
      <c r="F158" s="10608" t="s">
        <v>324</v>
      </c>
      <c r="G158" s="10582" t="s">
        <v>22</v>
      </c>
      <c r="H158" s="10610" t="s">
        <v>22</v>
      </c>
      <c r="I158" s="16577">
        <v>45393</v>
      </c>
      <c r="J158" s="10610" t="s">
        <v>22</v>
      </c>
      <c r="K158" s="10582">
        <v>45401</v>
      </c>
      <c r="L158" s="10610" t="s">
        <v>22</v>
      </c>
      <c r="M158" s="10582" t="s">
        <v>22</v>
      </c>
      <c r="N158" s="10610" t="s">
        <v>22</v>
      </c>
      <c r="O158" s="29697" t="s">
        <v>22</v>
      </c>
      <c r="P158" s="29693" t="s">
        <v>22</v>
      </c>
      <c r="Q158" s="10582" t="s">
        <v>22</v>
      </c>
      <c r="R158" s="10610" t="s">
        <v>22</v>
      </c>
      <c r="S158" s="10611" t="s">
        <v>965</v>
      </c>
      <c r="T158" s="10603"/>
      <c r="U158" s="10603"/>
      <c r="V158" s="10603"/>
      <c r="W158" s="10603"/>
      <c r="X158" s="10603"/>
      <c r="Y158" s="10603"/>
      <c r="Z158" s="10603"/>
      <c r="AA158" s="10603"/>
      <c r="AB158" s="10603"/>
      <c r="AC158" s="10612"/>
      <c r="AD158" s="10603">
        <v>0</v>
      </c>
    </row>
    <row s="36426" customFormat="1" customHeight="1" ht="15">
      <c r="A159" s="10603"/>
      <c r="B159" s="10604"/>
      <c r="C159" s="10605"/>
      <c r="D159" s="10606" t="str">
        <f>B157&amp;".3"</f>
        <v>3.41.3</v>
      </c>
      <c r="E159" s="10607" t="s">
        <v>966</v>
      </c>
      <c r="F159" s="10608" t="s">
        <v>324</v>
      </c>
      <c r="G159" s="10582" t="s">
        <v>22</v>
      </c>
      <c r="H159" s="10610" t="s">
        <v>22</v>
      </c>
      <c r="I159" s="16577" t="s">
        <v>22</v>
      </c>
      <c r="J159" s="10610" t="s">
        <v>22</v>
      </c>
      <c r="K159" s="10582" t="s">
        <v>22</v>
      </c>
      <c r="L159" s="10610" t="s">
        <v>22</v>
      </c>
      <c r="M159" s="10582" t="s">
        <v>22</v>
      </c>
      <c r="N159" s="10610" t="s">
        <v>22</v>
      </c>
      <c r="O159" s="29697" t="s">
        <v>22</v>
      </c>
      <c r="P159" s="29693" t="s">
        <v>22</v>
      </c>
      <c r="Q159" s="10582" t="s">
        <v>22</v>
      </c>
      <c r="R159" s="10610" t="s">
        <v>22</v>
      </c>
      <c r="S159" s="10611" t="s">
        <v>967</v>
      </c>
      <c r="T159" s="10603"/>
      <c r="U159" s="10603"/>
      <c r="V159" s="10603"/>
      <c r="W159" s="10603"/>
      <c r="X159" s="10603"/>
      <c r="Y159" s="10603"/>
      <c r="Z159" s="10603"/>
      <c r="AA159" s="10603"/>
      <c r="AB159" s="10603"/>
      <c r="AC159" s="10612"/>
      <c r="AD159" s="10603">
        <v>0</v>
      </c>
    </row>
    <row s="36427" customFormat="1" customHeight="1" ht="22.5">
      <c r="A160" s="10603"/>
      <c r="B160" s="10604" t="s">
        <v>1019</v>
      </c>
      <c r="C160" s="10605" t="s">
        <v>103</v>
      </c>
      <c r="D160" s="10606" t="str">
        <f>B160&amp;".1"</f>
        <v>3.42.1</v>
      </c>
      <c r="E160" s="10607" t="s">
        <v>963</v>
      </c>
      <c r="F160" s="10608" t="s">
        <v>324</v>
      </c>
      <c r="G160" s="10609" t="s">
        <v>22</v>
      </c>
      <c r="H160" s="10610" t="s">
        <v>22</v>
      </c>
      <c r="I160" s="10609" t="s">
        <v>1020</v>
      </c>
      <c r="J160" s="10610" t="s">
        <v>22</v>
      </c>
      <c r="K160" s="10609" t="s">
        <v>981</v>
      </c>
      <c r="L160" s="10610" t="s">
        <v>22</v>
      </c>
      <c r="M160" s="10609" t="s">
        <v>22</v>
      </c>
      <c r="N160" s="10610" t="s">
        <v>22</v>
      </c>
      <c r="O160" s="29692" t="s">
        <v>22</v>
      </c>
      <c r="P160" s="29693" t="s">
        <v>22</v>
      </c>
      <c r="Q160" s="10609" t="s">
        <v>22</v>
      </c>
      <c r="R160" s="10610" t="s">
        <v>22</v>
      </c>
      <c r="S160" s="10611"/>
      <c r="T160" s="10603"/>
      <c r="U160" s="10603"/>
      <c r="V160" s="10603"/>
      <c r="W160" s="10603"/>
      <c r="X160" s="10603"/>
      <c r="Y160" s="10603"/>
      <c r="Z160" s="10603"/>
      <c r="AA160" s="10603"/>
      <c r="AB160" s="10603"/>
      <c r="AC160" s="10612"/>
      <c r="AD160" s="10603">
        <v>0</v>
      </c>
    </row>
    <row s="36428" customFormat="1" customHeight="1" ht="15">
      <c r="A161" s="10603"/>
      <c r="B161" s="10604"/>
      <c r="C161" s="10605"/>
      <c r="D161" s="10606" t="str">
        <f>B160&amp;".2"</f>
        <v>3.42.2</v>
      </c>
      <c r="E161" s="10607" t="s">
        <v>964</v>
      </c>
      <c r="F161" s="10608" t="s">
        <v>324</v>
      </c>
      <c r="G161" s="10582" t="s">
        <v>22</v>
      </c>
      <c r="H161" s="10610" t="s">
        <v>22</v>
      </c>
      <c r="I161" s="16577">
        <v>45393</v>
      </c>
      <c r="J161" s="10610" t="s">
        <v>22</v>
      </c>
      <c r="K161" s="23000">
        <v>45404.656805555554</v>
      </c>
      <c r="L161" s="10610" t="s">
        <v>22</v>
      </c>
      <c r="M161" s="10582" t="s">
        <v>22</v>
      </c>
      <c r="N161" s="10610" t="s">
        <v>22</v>
      </c>
      <c r="O161" s="29697" t="s">
        <v>22</v>
      </c>
      <c r="P161" s="29693" t="s">
        <v>22</v>
      </c>
      <c r="Q161" s="10582" t="s">
        <v>22</v>
      </c>
      <c r="R161" s="10610" t="s">
        <v>22</v>
      </c>
      <c r="S161" s="10611" t="s">
        <v>965</v>
      </c>
      <c r="T161" s="10603"/>
      <c r="U161" s="10603"/>
      <c r="V161" s="10603"/>
      <c r="W161" s="10603"/>
      <c r="X161" s="10603"/>
      <c r="Y161" s="10603"/>
      <c r="Z161" s="10603"/>
      <c r="AA161" s="10603"/>
      <c r="AB161" s="10603"/>
      <c r="AC161" s="10612"/>
      <c r="AD161" s="10603">
        <v>0</v>
      </c>
    </row>
    <row s="36429" customFormat="1" customHeight="1" ht="15">
      <c r="A162" s="10603"/>
      <c r="B162" s="10604"/>
      <c r="C162" s="10605"/>
      <c r="D162" s="10606" t="str">
        <f>B160&amp;".3"</f>
        <v>3.42.3</v>
      </c>
      <c r="E162" s="10607" t="s">
        <v>966</v>
      </c>
      <c r="F162" s="10608" t="s">
        <v>324</v>
      </c>
      <c r="G162" s="10582" t="s">
        <v>22</v>
      </c>
      <c r="H162" s="10610" t="s">
        <v>22</v>
      </c>
      <c r="I162" s="16577" t="s">
        <v>22</v>
      </c>
      <c r="J162" s="10610" t="s">
        <v>22</v>
      </c>
      <c r="K162" s="10582" t="s">
        <v>22</v>
      </c>
      <c r="L162" s="10610" t="s">
        <v>22</v>
      </c>
      <c r="M162" s="10582" t="s">
        <v>22</v>
      </c>
      <c r="N162" s="10610" t="s">
        <v>22</v>
      </c>
      <c r="O162" s="29697" t="s">
        <v>22</v>
      </c>
      <c r="P162" s="29693" t="s">
        <v>22</v>
      </c>
      <c r="Q162" s="10582" t="s">
        <v>22</v>
      </c>
      <c r="R162" s="10610" t="s">
        <v>22</v>
      </c>
      <c r="S162" s="10611" t="s">
        <v>967</v>
      </c>
      <c r="T162" s="10603"/>
      <c r="U162" s="10603"/>
      <c r="V162" s="10603"/>
      <c r="W162" s="10603"/>
      <c r="X162" s="10603"/>
      <c r="Y162" s="10603"/>
      <c r="Z162" s="10603"/>
      <c r="AA162" s="10603"/>
      <c r="AB162" s="10603"/>
      <c r="AC162" s="10612"/>
      <c r="AD162" s="10603">
        <v>0</v>
      </c>
    </row>
    <row s="36430" customFormat="1" customHeight="1" ht="22.5">
      <c r="A163" s="10603"/>
      <c r="B163" s="10604" t="s">
        <v>1021</v>
      </c>
      <c r="C163" s="10605" t="s">
        <v>103</v>
      </c>
      <c r="D163" s="10606" t="str">
        <f>B163&amp;".1"</f>
        <v>3.43.1</v>
      </c>
      <c r="E163" s="10607" t="s">
        <v>963</v>
      </c>
      <c r="F163" s="10608" t="s">
        <v>324</v>
      </c>
      <c r="G163" s="10609" t="s">
        <v>22</v>
      </c>
      <c r="H163" s="10610" t="s">
        <v>22</v>
      </c>
      <c r="I163" s="10609" t="s">
        <v>981</v>
      </c>
      <c r="J163" s="10610" t="s">
        <v>22</v>
      </c>
      <c r="K163" s="10609" t="s">
        <v>981</v>
      </c>
      <c r="L163" s="10610" t="s">
        <v>22</v>
      </c>
      <c r="M163" s="10609" t="s">
        <v>22</v>
      </c>
      <c r="N163" s="10610" t="s">
        <v>22</v>
      </c>
      <c r="O163" s="29692" t="s">
        <v>22</v>
      </c>
      <c r="P163" s="29693" t="s">
        <v>22</v>
      </c>
      <c r="Q163" s="10609" t="s">
        <v>22</v>
      </c>
      <c r="R163" s="10610" t="s">
        <v>22</v>
      </c>
      <c r="S163" s="10611"/>
      <c r="T163" s="10603"/>
      <c r="U163" s="10603"/>
      <c r="V163" s="10603"/>
      <c r="W163" s="10603"/>
      <c r="X163" s="10603"/>
      <c r="Y163" s="10603"/>
      <c r="Z163" s="10603"/>
      <c r="AA163" s="10603"/>
      <c r="AB163" s="10603"/>
      <c r="AC163" s="10612"/>
      <c r="AD163" s="10603">
        <v>0</v>
      </c>
    </row>
    <row s="36431" customFormat="1" customHeight="1" ht="15">
      <c r="A164" s="10603"/>
      <c r="B164" s="10604"/>
      <c r="C164" s="10605"/>
      <c r="D164" s="10606" t="str">
        <f>B163&amp;".2"</f>
        <v>3.43.2</v>
      </c>
      <c r="E164" s="10607" t="s">
        <v>964</v>
      </c>
      <c r="F164" s="10608" t="s">
        <v>324</v>
      </c>
      <c r="G164" s="10582" t="s">
        <v>22</v>
      </c>
      <c r="H164" s="10610" t="s">
        <v>22</v>
      </c>
      <c r="I164" s="16577">
        <v>45393</v>
      </c>
      <c r="J164" s="10610" t="s">
        <v>22</v>
      </c>
      <c r="K164" s="10582">
        <v>45404</v>
      </c>
      <c r="L164" s="10610" t="s">
        <v>22</v>
      </c>
      <c r="M164" s="10582" t="s">
        <v>22</v>
      </c>
      <c r="N164" s="10610" t="s">
        <v>22</v>
      </c>
      <c r="O164" s="29697" t="s">
        <v>22</v>
      </c>
      <c r="P164" s="29693" t="s">
        <v>22</v>
      </c>
      <c r="Q164" s="10582" t="s">
        <v>22</v>
      </c>
      <c r="R164" s="10610" t="s">
        <v>22</v>
      </c>
      <c r="S164" s="10611" t="s">
        <v>965</v>
      </c>
      <c r="T164" s="10603"/>
      <c r="U164" s="10603"/>
      <c r="V164" s="10603"/>
      <c r="W164" s="10603"/>
      <c r="X164" s="10603"/>
      <c r="Y164" s="10603"/>
      <c r="Z164" s="10603"/>
      <c r="AA164" s="10603"/>
      <c r="AB164" s="10603"/>
      <c r="AC164" s="10612"/>
      <c r="AD164" s="10603">
        <v>0</v>
      </c>
    </row>
    <row s="36432" customFormat="1" customHeight="1" ht="15">
      <c r="A165" s="10603"/>
      <c r="B165" s="10604"/>
      <c r="C165" s="10605"/>
      <c r="D165" s="10606" t="str">
        <f>B163&amp;".3"</f>
        <v>3.43.3</v>
      </c>
      <c r="E165" s="10607" t="s">
        <v>966</v>
      </c>
      <c r="F165" s="10608" t="s">
        <v>324</v>
      </c>
      <c r="G165" s="10582" t="s">
        <v>22</v>
      </c>
      <c r="H165" s="10610" t="s">
        <v>22</v>
      </c>
      <c r="I165" s="16577" t="s">
        <v>22</v>
      </c>
      <c r="J165" s="10610" t="s">
        <v>22</v>
      </c>
      <c r="K165" s="10582" t="s">
        <v>22</v>
      </c>
      <c r="L165" s="10610" t="s">
        <v>22</v>
      </c>
      <c r="M165" s="10582" t="s">
        <v>22</v>
      </c>
      <c r="N165" s="10610" t="s">
        <v>22</v>
      </c>
      <c r="O165" s="29697" t="s">
        <v>22</v>
      </c>
      <c r="P165" s="29693" t="s">
        <v>22</v>
      </c>
      <c r="Q165" s="10582" t="s">
        <v>22</v>
      </c>
      <c r="R165" s="10610" t="s">
        <v>22</v>
      </c>
      <c r="S165" s="10611" t="s">
        <v>967</v>
      </c>
      <c r="T165" s="10603"/>
      <c r="U165" s="10603"/>
      <c r="V165" s="10603"/>
      <c r="W165" s="10603"/>
      <c r="X165" s="10603"/>
      <c r="Y165" s="10603"/>
      <c r="Z165" s="10603"/>
      <c r="AA165" s="10603"/>
      <c r="AB165" s="10603"/>
      <c r="AC165" s="10612"/>
      <c r="AD165" s="10603">
        <v>0</v>
      </c>
    </row>
    <row s="36433" customFormat="1" customHeight="1" ht="22.5">
      <c r="A166" s="10603"/>
      <c r="B166" s="10604" t="s">
        <v>1022</v>
      </c>
      <c r="C166" s="10605" t="s">
        <v>103</v>
      </c>
      <c r="D166" s="10606" t="str">
        <f>B166&amp;".1"</f>
        <v>3.44.1</v>
      </c>
      <c r="E166" s="10607" t="s">
        <v>963</v>
      </c>
      <c r="F166" s="10608" t="s">
        <v>324</v>
      </c>
      <c r="G166" s="10609" t="s">
        <v>22</v>
      </c>
      <c r="H166" s="10610" t="s">
        <v>22</v>
      </c>
      <c r="I166" s="10609" t="s">
        <v>981</v>
      </c>
      <c r="J166" s="10610" t="s">
        <v>22</v>
      </c>
      <c r="K166" s="10609" t="s">
        <v>981</v>
      </c>
      <c r="L166" s="10610" t="s">
        <v>22</v>
      </c>
      <c r="M166" s="10609" t="s">
        <v>22</v>
      </c>
      <c r="N166" s="10610" t="s">
        <v>22</v>
      </c>
      <c r="O166" s="29692" t="s">
        <v>22</v>
      </c>
      <c r="P166" s="29693" t="s">
        <v>22</v>
      </c>
      <c r="Q166" s="10609" t="s">
        <v>22</v>
      </c>
      <c r="R166" s="10610" t="s">
        <v>22</v>
      </c>
      <c r="S166" s="10611"/>
      <c r="T166" s="10603"/>
      <c r="U166" s="10603"/>
      <c r="V166" s="10603"/>
      <c r="W166" s="10603"/>
      <c r="X166" s="10603"/>
      <c r="Y166" s="10603"/>
      <c r="Z166" s="10603"/>
      <c r="AA166" s="10603"/>
      <c r="AB166" s="10603"/>
      <c r="AC166" s="10612"/>
      <c r="AD166" s="10603">
        <v>0</v>
      </c>
    </row>
    <row s="36434" customFormat="1" customHeight="1" ht="15">
      <c r="A167" s="10603"/>
      <c r="B167" s="10604"/>
      <c r="C167" s="10605"/>
      <c r="D167" s="10606" t="str">
        <f>B166&amp;".2"</f>
        <v>3.44.2</v>
      </c>
      <c r="E167" s="10607" t="s">
        <v>964</v>
      </c>
      <c r="F167" s="10608" t="s">
        <v>324</v>
      </c>
      <c r="G167" s="10582" t="s">
        <v>22</v>
      </c>
      <c r="H167" s="10610" t="s">
        <v>22</v>
      </c>
      <c r="I167" s="16577">
        <v>45393</v>
      </c>
      <c r="J167" s="10610" t="s">
        <v>22</v>
      </c>
      <c r="K167" s="10582">
        <v>45404</v>
      </c>
      <c r="L167" s="10610" t="s">
        <v>22</v>
      </c>
      <c r="M167" s="10582" t="s">
        <v>22</v>
      </c>
      <c r="N167" s="10610" t="s">
        <v>22</v>
      </c>
      <c r="O167" s="29697" t="s">
        <v>22</v>
      </c>
      <c r="P167" s="29693" t="s">
        <v>22</v>
      </c>
      <c r="Q167" s="10582" t="s">
        <v>22</v>
      </c>
      <c r="R167" s="10610" t="s">
        <v>22</v>
      </c>
      <c r="S167" s="10611" t="s">
        <v>965</v>
      </c>
      <c r="T167" s="10603"/>
      <c r="U167" s="10603"/>
      <c r="V167" s="10603"/>
      <c r="W167" s="10603"/>
      <c r="X167" s="10603"/>
      <c r="Y167" s="10603"/>
      <c r="Z167" s="10603"/>
      <c r="AA167" s="10603"/>
      <c r="AB167" s="10603"/>
      <c r="AC167" s="10612"/>
      <c r="AD167" s="10603">
        <v>0</v>
      </c>
    </row>
    <row s="36435" customFormat="1" customHeight="1" ht="15">
      <c r="A168" s="10603"/>
      <c r="B168" s="10604"/>
      <c r="C168" s="10605"/>
      <c r="D168" s="10606" t="str">
        <f>B166&amp;".3"</f>
        <v>3.44.3</v>
      </c>
      <c r="E168" s="10607" t="s">
        <v>966</v>
      </c>
      <c r="F168" s="10608" t="s">
        <v>324</v>
      </c>
      <c r="G168" s="10582" t="s">
        <v>22</v>
      </c>
      <c r="H168" s="10610" t="s">
        <v>22</v>
      </c>
      <c r="I168" s="16577" t="s">
        <v>22</v>
      </c>
      <c r="J168" s="10610" t="s">
        <v>22</v>
      </c>
      <c r="K168" s="10582" t="s">
        <v>22</v>
      </c>
      <c r="L168" s="10610" t="s">
        <v>22</v>
      </c>
      <c r="M168" s="10582" t="s">
        <v>22</v>
      </c>
      <c r="N168" s="10610" t="s">
        <v>22</v>
      </c>
      <c r="O168" s="29697" t="s">
        <v>22</v>
      </c>
      <c r="P168" s="29693" t="s">
        <v>22</v>
      </c>
      <c r="Q168" s="10582" t="s">
        <v>22</v>
      </c>
      <c r="R168" s="10610" t="s">
        <v>22</v>
      </c>
      <c r="S168" s="10611" t="s">
        <v>967</v>
      </c>
      <c r="T168" s="10603"/>
      <c r="U168" s="10603"/>
      <c r="V168" s="10603"/>
      <c r="W168" s="10603"/>
      <c r="X168" s="10603"/>
      <c r="Y168" s="10603"/>
      <c r="Z168" s="10603"/>
      <c r="AA168" s="10603"/>
      <c r="AB168" s="10603"/>
      <c r="AC168" s="10612"/>
      <c r="AD168" s="10603">
        <v>0</v>
      </c>
    </row>
    <row s="36436" customFormat="1" customHeight="1" ht="22.5">
      <c r="A169" s="10603"/>
      <c r="B169" s="10604" t="s">
        <v>1023</v>
      </c>
      <c r="C169" s="10605" t="s">
        <v>103</v>
      </c>
      <c r="D169" s="10606" t="str">
        <f>B169&amp;".1"</f>
        <v>3.45.1</v>
      </c>
      <c r="E169" s="10607" t="s">
        <v>963</v>
      </c>
      <c r="F169" s="10608" t="s">
        <v>324</v>
      </c>
      <c r="G169" s="10609" t="s">
        <v>22</v>
      </c>
      <c r="H169" s="10610" t="s">
        <v>22</v>
      </c>
      <c r="I169" s="10609" t="s">
        <v>987</v>
      </c>
      <c r="J169" s="10610" t="s">
        <v>22</v>
      </c>
      <c r="K169" s="10609" t="s">
        <v>981</v>
      </c>
      <c r="L169" s="10610" t="s">
        <v>22</v>
      </c>
      <c r="M169" s="10609" t="s">
        <v>22</v>
      </c>
      <c r="N169" s="10610" t="s">
        <v>22</v>
      </c>
      <c r="O169" s="29692" t="s">
        <v>22</v>
      </c>
      <c r="P169" s="29693" t="s">
        <v>22</v>
      </c>
      <c r="Q169" s="10609" t="s">
        <v>22</v>
      </c>
      <c r="R169" s="10610" t="s">
        <v>22</v>
      </c>
      <c r="S169" s="10611"/>
      <c r="T169" s="10603"/>
      <c r="U169" s="10603"/>
      <c r="V169" s="10603"/>
      <c r="W169" s="10603"/>
      <c r="X169" s="10603"/>
      <c r="Y169" s="10603"/>
      <c r="Z169" s="10603"/>
      <c r="AA169" s="10603"/>
      <c r="AB169" s="10603"/>
      <c r="AC169" s="10612"/>
      <c r="AD169" s="10603">
        <v>0</v>
      </c>
    </row>
    <row s="36437" customFormat="1" customHeight="1" ht="15">
      <c r="A170" s="10603"/>
      <c r="B170" s="10604"/>
      <c r="C170" s="10605"/>
      <c r="D170" s="10606" t="str">
        <f>B169&amp;".2"</f>
        <v>3.45.2</v>
      </c>
      <c r="E170" s="10607" t="s">
        <v>964</v>
      </c>
      <c r="F170" s="10608" t="s">
        <v>324</v>
      </c>
      <c r="G170" s="10582" t="s">
        <v>22</v>
      </c>
      <c r="H170" s="10610" t="s">
        <v>22</v>
      </c>
      <c r="I170" s="16577">
        <v>45393</v>
      </c>
      <c r="J170" s="10610" t="s">
        <v>22</v>
      </c>
      <c r="K170" s="10582">
        <v>45404</v>
      </c>
      <c r="L170" s="10610" t="s">
        <v>22</v>
      </c>
      <c r="M170" s="10582" t="s">
        <v>22</v>
      </c>
      <c r="N170" s="10610" t="s">
        <v>22</v>
      </c>
      <c r="O170" s="29697" t="s">
        <v>22</v>
      </c>
      <c r="P170" s="29693" t="s">
        <v>22</v>
      </c>
      <c r="Q170" s="10582" t="s">
        <v>22</v>
      </c>
      <c r="R170" s="10610" t="s">
        <v>22</v>
      </c>
      <c r="S170" s="10611" t="s">
        <v>965</v>
      </c>
      <c r="T170" s="10603"/>
      <c r="U170" s="10603"/>
      <c r="V170" s="10603"/>
      <c r="W170" s="10603"/>
      <c r="X170" s="10603"/>
      <c r="Y170" s="10603"/>
      <c r="Z170" s="10603"/>
      <c r="AA170" s="10603"/>
      <c r="AB170" s="10603"/>
      <c r="AC170" s="10612"/>
      <c r="AD170" s="10603">
        <v>0</v>
      </c>
    </row>
    <row s="36438" customFormat="1" customHeight="1" ht="15">
      <c r="A171" s="10603"/>
      <c r="B171" s="10604"/>
      <c r="C171" s="10605"/>
      <c r="D171" s="10606" t="str">
        <f>B169&amp;".3"</f>
        <v>3.45.3</v>
      </c>
      <c r="E171" s="10607" t="s">
        <v>966</v>
      </c>
      <c r="F171" s="10608" t="s">
        <v>324</v>
      </c>
      <c r="G171" s="10582" t="s">
        <v>22</v>
      </c>
      <c r="H171" s="10610" t="s">
        <v>22</v>
      </c>
      <c r="I171" s="16577" t="s">
        <v>22</v>
      </c>
      <c r="J171" s="10610" t="s">
        <v>22</v>
      </c>
      <c r="K171" s="10582" t="s">
        <v>22</v>
      </c>
      <c r="L171" s="10610" t="s">
        <v>22</v>
      </c>
      <c r="M171" s="10582" t="s">
        <v>22</v>
      </c>
      <c r="N171" s="10610" t="s">
        <v>22</v>
      </c>
      <c r="O171" s="29697" t="s">
        <v>22</v>
      </c>
      <c r="P171" s="29693" t="s">
        <v>22</v>
      </c>
      <c r="Q171" s="10582" t="s">
        <v>22</v>
      </c>
      <c r="R171" s="10610" t="s">
        <v>22</v>
      </c>
      <c r="S171" s="10611" t="s">
        <v>967</v>
      </c>
      <c r="T171" s="10603"/>
      <c r="U171" s="10603"/>
      <c r="V171" s="10603"/>
      <c r="W171" s="10603"/>
      <c r="X171" s="10603"/>
      <c r="Y171" s="10603"/>
      <c r="Z171" s="10603"/>
      <c r="AA171" s="10603"/>
      <c r="AB171" s="10603"/>
      <c r="AC171" s="10612"/>
      <c r="AD171" s="10603">
        <v>0</v>
      </c>
    </row>
    <row s="36439" customFormat="1" customHeight="1" ht="22.5">
      <c r="A172" s="10603"/>
      <c r="B172" s="10604" t="s">
        <v>1024</v>
      </c>
      <c r="C172" s="10605" t="s">
        <v>103</v>
      </c>
      <c r="D172" s="10606" t="str">
        <f>B172&amp;".1"</f>
        <v>3.46.1</v>
      </c>
      <c r="E172" s="10607" t="s">
        <v>963</v>
      </c>
      <c r="F172" s="10608" t="s">
        <v>324</v>
      </c>
      <c r="G172" s="10609" t="s">
        <v>22</v>
      </c>
      <c r="H172" s="10610" t="s">
        <v>22</v>
      </c>
      <c r="I172" s="10609" t="s">
        <v>981</v>
      </c>
      <c r="J172" s="10610" t="s">
        <v>22</v>
      </c>
      <c r="K172" s="10609" t="s">
        <v>981</v>
      </c>
      <c r="L172" s="10610" t="s">
        <v>22</v>
      </c>
      <c r="M172" s="10609" t="s">
        <v>22</v>
      </c>
      <c r="N172" s="10610" t="s">
        <v>22</v>
      </c>
      <c r="O172" s="29692" t="s">
        <v>22</v>
      </c>
      <c r="P172" s="29693" t="s">
        <v>22</v>
      </c>
      <c r="Q172" s="10609" t="s">
        <v>22</v>
      </c>
      <c r="R172" s="10610" t="s">
        <v>22</v>
      </c>
      <c r="S172" s="10611"/>
      <c r="T172" s="10603"/>
      <c r="U172" s="10603"/>
      <c r="V172" s="10603"/>
      <c r="W172" s="10603"/>
      <c r="X172" s="10603"/>
      <c r="Y172" s="10603"/>
      <c r="Z172" s="10603"/>
      <c r="AA172" s="10603"/>
      <c r="AB172" s="10603"/>
      <c r="AC172" s="10612"/>
      <c r="AD172" s="10603">
        <v>0</v>
      </c>
    </row>
    <row s="36440" customFormat="1" customHeight="1" ht="15">
      <c r="A173" s="10603"/>
      <c r="B173" s="10604"/>
      <c r="C173" s="10605"/>
      <c r="D173" s="10606" t="str">
        <f>B172&amp;".2"</f>
        <v>3.46.2</v>
      </c>
      <c r="E173" s="10607" t="s">
        <v>964</v>
      </c>
      <c r="F173" s="10608" t="s">
        <v>324</v>
      </c>
      <c r="G173" s="10582" t="s">
        <v>22</v>
      </c>
      <c r="H173" s="10610" t="s">
        <v>22</v>
      </c>
      <c r="I173" s="16577">
        <v>45394</v>
      </c>
      <c r="J173" s="10610" t="s">
        <v>22</v>
      </c>
      <c r="K173" s="10582">
        <v>45404</v>
      </c>
      <c r="L173" s="10610" t="s">
        <v>22</v>
      </c>
      <c r="M173" s="10582" t="s">
        <v>22</v>
      </c>
      <c r="N173" s="10610" t="s">
        <v>22</v>
      </c>
      <c r="O173" s="29697" t="s">
        <v>22</v>
      </c>
      <c r="P173" s="29693" t="s">
        <v>22</v>
      </c>
      <c r="Q173" s="10582" t="s">
        <v>22</v>
      </c>
      <c r="R173" s="10610" t="s">
        <v>22</v>
      </c>
      <c r="S173" s="10611" t="s">
        <v>965</v>
      </c>
      <c r="T173" s="10603"/>
      <c r="U173" s="10603"/>
      <c r="V173" s="10603"/>
      <c r="W173" s="10603"/>
      <c r="X173" s="10603"/>
      <c r="Y173" s="10603"/>
      <c r="Z173" s="10603"/>
      <c r="AA173" s="10603"/>
      <c r="AB173" s="10603"/>
      <c r="AC173" s="10612"/>
      <c r="AD173" s="10603">
        <v>0</v>
      </c>
    </row>
    <row s="36441" customFormat="1" customHeight="1" ht="15">
      <c r="A174" s="10603"/>
      <c r="B174" s="10604"/>
      <c r="C174" s="10605"/>
      <c r="D174" s="10606" t="str">
        <f>B172&amp;".3"</f>
        <v>3.46.3</v>
      </c>
      <c r="E174" s="10607" t="s">
        <v>966</v>
      </c>
      <c r="F174" s="10608" t="s">
        <v>324</v>
      </c>
      <c r="G174" s="10582" t="s">
        <v>22</v>
      </c>
      <c r="H174" s="10610" t="s">
        <v>22</v>
      </c>
      <c r="I174" s="16577" t="s">
        <v>22</v>
      </c>
      <c r="J174" s="10610" t="s">
        <v>22</v>
      </c>
      <c r="K174" s="10582" t="s">
        <v>22</v>
      </c>
      <c r="L174" s="10610" t="s">
        <v>22</v>
      </c>
      <c r="M174" s="10582" t="s">
        <v>22</v>
      </c>
      <c r="N174" s="10610" t="s">
        <v>22</v>
      </c>
      <c r="O174" s="29697" t="s">
        <v>22</v>
      </c>
      <c r="P174" s="29693" t="s">
        <v>22</v>
      </c>
      <c r="Q174" s="10582" t="s">
        <v>22</v>
      </c>
      <c r="R174" s="10610" t="s">
        <v>22</v>
      </c>
      <c r="S174" s="10611" t="s">
        <v>967</v>
      </c>
      <c r="T174" s="10603"/>
      <c r="U174" s="10603"/>
      <c r="V174" s="10603"/>
      <c r="W174" s="10603"/>
      <c r="X174" s="10603"/>
      <c r="Y174" s="10603"/>
      <c r="Z174" s="10603"/>
      <c r="AA174" s="10603"/>
      <c r="AB174" s="10603"/>
      <c r="AC174" s="10612"/>
      <c r="AD174" s="10603">
        <v>0</v>
      </c>
    </row>
    <row s="36442" customFormat="1" customHeight="1" ht="22.5">
      <c r="A175" s="10603"/>
      <c r="B175" s="10604" t="s">
        <v>1025</v>
      </c>
      <c r="C175" s="10605" t="s">
        <v>103</v>
      </c>
      <c r="D175" s="10606" t="str">
        <f>B175&amp;".1"</f>
        <v>3.47.1</v>
      </c>
      <c r="E175" s="10607" t="s">
        <v>963</v>
      </c>
      <c r="F175" s="10608" t="s">
        <v>324</v>
      </c>
      <c r="G175" s="10609" t="s">
        <v>22</v>
      </c>
      <c r="H175" s="10610" t="s">
        <v>22</v>
      </c>
      <c r="I175" s="10609" t="s">
        <v>981</v>
      </c>
      <c r="J175" s="10610" t="s">
        <v>22</v>
      </c>
      <c r="K175" s="10609" t="s">
        <v>981</v>
      </c>
      <c r="L175" s="10610" t="s">
        <v>22</v>
      </c>
      <c r="M175" s="10609" t="s">
        <v>22</v>
      </c>
      <c r="N175" s="10610" t="s">
        <v>22</v>
      </c>
      <c r="O175" s="29692" t="s">
        <v>22</v>
      </c>
      <c r="P175" s="29693" t="s">
        <v>22</v>
      </c>
      <c r="Q175" s="10609" t="s">
        <v>22</v>
      </c>
      <c r="R175" s="10610" t="s">
        <v>22</v>
      </c>
      <c r="S175" s="10611"/>
      <c r="T175" s="10603"/>
      <c r="U175" s="10603"/>
      <c r="V175" s="10603"/>
      <c r="W175" s="10603"/>
      <c r="X175" s="10603"/>
      <c r="Y175" s="10603"/>
      <c r="Z175" s="10603"/>
      <c r="AA175" s="10603"/>
      <c r="AB175" s="10603"/>
      <c r="AC175" s="10612"/>
      <c r="AD175" s="10603">
        <v>0</v>
      </c>
    </row>
    <row s="36443" customFormat="1" customHeight="1" ht="15">
      <c r="A176" s="10603"/>
      <c r="B176" s="10604"/>
      <c r="C176" s="10605"/>
      <c r="D176" s="10606" t="str">
        <f>B175&amp;".2"</f>
        <v>3.47.2</v>
      </c>
      <c r="E176" s="10607" t="s">
        <v>964</v>
      </c>
      <c r="F176" s="10608" t="s">
        <v>324</v>
      </c>
      <c r="G176" s="10582" t="s">
        <v>22</v>
      </c>
      <c r="H176" s="10610" t="s">
        <v>22</v>
      </c>
      <c r="I176" s="16577">
        <v>45394</v>
      </c>
      <c r="J176" s="10610" t="s">
        <v>22</v>
      </c>
      <c r="K176" s="23000">
        <v>45406.65828703704</v>
      </c>
      <c r="L176" s="10610" t="s">
        <v>22</v>
      </c>
      <c r="M176" s="10582" t="s">
        <v>22</v>
      </c>
      <c r="N176" s="10610" t="s">
        <v>22</v>
      </c>
      <c r="O176" s="29697" t="s">
        <v>22</v>
      </c>
      <c r="P176" s="29693" t="s">
        <v>22</v>
      </c>
      <c r="Q176" s="10582" t="s">
        <v>22</v>
      </c>
      <c r="R176" s="10610" t="s">
        <v>22</v>
      </c>
      <c r="S176" s="10611" t="s">
        <v>965</v>
      </c>
      <c r="T176" s="10603"/>
      <c r="U176" s="10603"/>
      <c r="V176" s="10603"/>
      <c r="W176" s="10603"/>
      <c r="X176" s="10603"/>
      <c r="Y176" s="10603"/>
      <c r="Z176" s="10603"/>
      <c r="AA176" s="10603"/>
      <c r="AB176" s="10603"/>
      <c r="AC176" s="10612"/>
      <c r="AD176" s="10603">
        <v>0</v>
      </c>
    </row>
    <row s="36444" customFormat="1" customHeight="1" ht="15">
      <c r="A177" s="10603"/>
      <c r="B177" s="10604"/>
      <c r="C177" s="10605"/>
      <c r="D177" s="10606" t="str">
        <f>B175&amp;".3"</f>
        <v>3.47.3</v>
      </c>
      <c r="E177" s="10607" t="s">
        <v>966</v>
      </c>
      <c r="F177" s="10608" t="s">
        <v>324</v>
      </c>
      <c r="G177" s="10582" t="s">
        <v>22</v>
      </c>
      <c r="H177" s="10610" t="s">
        <v>22</v>
      </c>
      <c r="I177" s="16577" t="s">
        <v>22</v>
      </c>
      <c r="J177" s="10610" t="s">
        <v>22</v>
      </c>
      <c r="K177" s="10582" t="s">
        <v>22</v>
      </c>
      <c r="L177" s="10610" t="s">
        <v>22</v>
      </c>
      <c r="M177" s="10582" t="s">
        <v>22</v>
      </c>
      <c r="N177" s="10610" t="s">
        <v>22</v>
      </c>
      <c r="O177" s="29697" t="s">
        <v>22</v>
      </c>
      <c r="P177" s="29693" t="s">
        <v>22</v>
      </c>
      <c r="Q177" s="10582" t="s">
        <v>22</v>
      </c>
      <c r="R177" s="10610" t="s">
        <v>22</v>
      </c>
      <c r="S177" s="10611" t="s">
        <v>967</v>
      </c>
      <c r="T177" s="10603"/>
      <c r="U177" s="10603"/>
      <c r="V177" s="10603"/>
      <c r="W177" s="10603"/>
      <c r="X177" s="10603"/>
      <c r="Y177" s="10603"/>
      <c r="Z177" s="10603"/>
      <c r="AA177" s="10603"/>
      <c r="AB177" s="10603"/>
      <c r="AC177" s="10612"/>
      <c r="AD177" s="10603">
        <v>0</v>
      </c>
    </row>
    <row s="36445" customFormat="1" customHeight="1" ht="22.5">
      <c r="A178" s="10603"/>
      <c r="B178" s="10604" t="s">
        <v>1026</v>
      </c>
      <c r="C178" s="10605" t="s">
        <v>103</v>
      </c>
      <c r="D178" s="10606" t="str">
        <f>B178&amp;".1"</f>
        <v>3.48.1</v>
      </c>
      <c r="E178" s="10607" t="s">
        <v>963</v>
      </c>
      <c r="F178" s="10608" t="s">
        <v>324</v>
      </c>
      <c r="G178" s="10609" t="s">
        <v>22</v>
      </c>
      <c r="H178" s="10610" t="s">
        <v>22</v>
      </c>
      <c r="I178" s="10609" t="s">
        <v>981</v>
      </c>
      <c r="J178" s="10610" t="s">
        <v>22</v>
      </c>
      <c r="K178" s="10609" t="s">
        <v>981</v>
      </c>
      <c r="L178" s="10610" t="s">
        <v>22</v>
      </c>
      <c r="M178" s="10609" t="s">
        <v>22</v>
      </c>
      <c r="N178" s="10610" t="s">
        <v>22</v>
      </c>
      <c r="O178" s="29692" t="s">
        <v>22</v>
      </c>
      <c r="P178" s="29693" t="s">
        <v>22</v>
      </c>
      <c r="Q178" s="10609" t="s">
        <v>22</v>
      </c>
      <c r="R178" s="10610" t="s">
        <v>22</v>
      </c>
      <c r="S178" s="10611"/>
      <c r="T178" s="10603"/>
      <c r="U178" s="10603"/>
      <c r="V178" s="10603"/>
      <c r="W178" s="10603"/>
      <c r="X178" s="10603"/>
      <c r="Y178" s="10603"/>
      <c r="Z178" s="10603"/>
      <c r="AA178" s="10603"/>
      <c r="AB178" s="10603"/>
      <c r="AC178" s="10612"/>
      <c r="AD178" s="10603">
        <v>0</v>
      </c>
    </row>
    <row s="36446" customFormat="1" customHeight="1" ht="15">
      <c r="A179" s="10603"/>
      <c r="B179" s="10604"/>
      <c r="C179" s="10605"/>
      <c r="D179" s="10606" t="str">
        <f>B178&amp;".2"</f>
        <v>3.48.2</v>
      </c>
      <c r="E179" s="10607" t="s">
        <v>964</v>
      </c>
      <c r="F179" s="10608" t="s">
        <v>324</v>
      </c>
      <c r="G179" s="10582" t="s">
        <v>22</v>
      </c>
      <c r="H179" s="10610" t="s">
        <v>22</v>
      </c>
      <c r="I179" s="16577">
        <v>45394</v>
      </c>
      <c r="J179" s="10610" t="s">
        <v>22</v>
      </c>
      <c r="K179" s="10582">
        <v>45406.658159722225</v>
      </c>
      <c r="L179" s="10610" t="s">
        <v>22</v>
      </c>
      <c r="M179" s="10582" t="s">
        <v>22</v>
      </c>
      <c r="N179" s="10610" t="s">
        <v>22</v>
      </c>
      <c r="O179" s="29697" t="s">
        <v>22</v>
      </c>
      <c r="P179" s="29693" t="s">
        <v>22</v>
      </c>
      <c r="Q179" s="10582" t="s">
        <v>22</v>
      </c>
      <c r="R179" s="10610" t="s">
        <v>22</v>
      </c>
      <c r="S179" s="10611" t="s">
        <v>965</v>
      </c>
      <c r="T179" s="10603"/>
      <c r="U179" s="10603"/>
      <c r="V179" s="10603"/>
      <c r="W179" s="10603"/>
      <c r="X179" s="10603"/>
      <c r="Y179" s="10603"/>
      <c r="Z179" s="10603"/>
      <c r="AA179" s="10603"/>
      <c r="AB179" s="10603"/>
      <c r="AC179" s="10612"/>
      <c r="AD179" s="10603">
        <v>0</v>
      </c>
    </row>
    <row s="36447" customFormat="1" customHeight="1" ht="15">
      <c r="A180" s="10603"/>
      <c r="B180" s="10604"/>
      <c r="C180" s="10605"/>
      <c r="D180" s="10606" t="str">
        <f>B178&amp;".3"</f>
        <v>3.48.3</v>
      </c>
      <c r="E180" s="10607" t="s">
        <v>966</v>
      </c>
      <c r="F180" s="10608" t="s">
        <v>324</v>
      </c>
      <c r="G180" s="10582" t="s">
        <v>22</v>
      </c>
      <c r="H180" s="10610" t="s">
        <v>22</v>
      </c>
      <c r="I180" s="16577" t="s">
        <v>22</v>
      </c>
      <c r="J180" s="10610" t="s">
        <v>22</v>
      </c>
      <c r="K180" s="10582" t="s">
        <v>22</v>
      </c>
      <c r="L180" s="10610" t="s">
        <v>22</v>
      </c>
      <c r="M180" s="10582" t="s">
        <v>22</v>
      </c>
      <c r="N180" s="10610" t="s">
        <v>22</v>
      </c>
      <c r="O180" s="29697" t="s">
        <v>22</v>
      </c>
      <c r="P180" s="29693" t="s">
        <v>22</v>
      </c>
      <c r="Q180" s="10582" t="s">
        <v>22</v>
      </c>
      <c r="R180" s="10610" t="s">
        <v>22</v>
      </c>
      <c r="S180" s="10611" t="s">
        <v>967</v>
      </c>
      <c r="T180" s="10603"/>
      <c r="U180" s="10603"/>
      <c r="V180" s="10603"/>
      <c r="W180" s="10603"/>
      <c r="X180" s="10603"/>
      <c r="Y180" s="10603"/>
      <c r="Z180" s="10603"/>
      <c r="AA180" s="10603"/>
      <c r="AB180" s="10603"/>
      <c r="AC180" s="10612"/>
      <c r="AD180" s="10603">
        <v>0</v>
      </c>
    </row>
    <row s="36448" customFormat="1" customHeight="1" ht="22.5">
      <c r="A181" s="10603"/>
      <c r="B181" s="10604" t="s">
        <v>1027</v>
      </c>
      <c r="C181" s="10605" t="s">
        <v>103</v>
      </c>
      <c r="D181" s="10606" t="str">
        <f>B181&amp;".1"</f>
        <v>3.49.1</v>
      </c>
      <c r="E181" s="10607" t="s">
        <v>963</v>
      </c>
      <c r="F181" s="10608" t="s">
        <v>324</v>
      </c>
      <c r="G181" s="10609" t="s">
        <v>22</v>
      </c>
      <c r="H181" s="10610" t="s">
        <v>22</v>
      </c>
      <c r="I181" s="10609" t="s">
        <v>981</v>
      </c>
      <c r="J181" s="10610" t="s">
        <v>22</v>
      </c>
      <c r="K181" s="10609" t="s">
        <v>981</v>
      </c>
      <c r="L181" s="10610" t="s">
        <v>22</v>
      </c>
      <c r="M181" s="10609" t="s">
        <v>22</v>
      </c>
      <c r="N181" s="10610" t="s">
        <v>22</v>
      </c>
      <c r="O181" s="29692" t="s">
        <v>22</v>
      </c>
      <c r="P181" s="29693" t="s">
        <v>22</v>
      </c>
      <c r="Q181" s="10609" t="s">
        <v>22</v>
      </c>
      <c r="R181" s="10610" t="s">
        <v>22</v>
      </c>
      <c r="S181" s="10611"/>
      <c r="T181" s="10603"/>
      <c r="U181" s="10603"/>
      <c r="V181" s="10603"/>
      <c r="W181" s="10603"/>
      <c r="X181" s="10603"/>
      <c r="Y181" s="10603"/>
      <c r="Z181" s="10603"/>
      <c r="AA181" s="10603"/>
      <c r="AB181" s="10603"/>
      <c r="AC181" s="10612"/>
      <c r="AD181" s="10603">
        <v>0</v>
      </c>
    </row>
    <row s="36449" customFormat="1" customHeight="1" ht="15">
      <c r="A182" s="10603"/>
      <c r="B182" s="10604"/>
      <c r="C182" s="10605"/>
      <c r="D182" s="10606" t="str">
        <f>B181&amp;".2"</f>
        <v>3.49.2</v>
      </c>
      <c r="E182" s="10607" t="s">
        <v>964</v>
      </c>
      <c r="F182" s="10608" t="s">
        <v>324</v>
      </c>
      <c r="G182" s="10582" t="s">
        <v>22</v>
      </c>
      <c r="H182" s="10610" t="s">
        <v>22</v>
      </c>
      <c r="I182" s="16577">
        <v>45394</v>
      </c>
      <c r="J182" s="10610" t="s">
        <v>22</v>
      </c>
      <c r="K182" s="23000">
        <v>45408.65917824074</v>
      </c>
      <c r="L182" s="10610" t="s">
        <v>22</v>
      </c>
      <c r="M182" s="10582" t="s">
        <v>22</v>
      </c>
      <c r="N182" s="10610" t="s">
        <v>22</v>
      </c>
      <c r="O182" s="29697" t="s">
        <v>22</v>
      </c>
      <c r="P182" s="29693" t="s">
        <v>22</v>
      </c>
      <c r="Q182" s="10582" t="s">
        <v>22</v>
      </c>
      <c r="R182" s="10610" t="s">
        <v>22</v>
      </c>
      <c r="S182" s="10611" t="s">
        <v>965</v>
      </c>
      <c r="T182" s="10603"/>
      <c r="U182" s="10603"/>
      <c r="V182" s="10603"/>
      <c r="W182" s="10603"/>
      <c r="X182" s="10603"/>
      <c r="Y182" s="10603"/>
      <c r="Z182" s="10603"/>
      <c r="AA182" s="10603"/>
      <c r="AB182" s="10603"/>
      <c r="AC182" s="10612"/>
      <c r="AD182" s="10603">
        <v>0</v>
      </c>
    </row>
    <row s="36450" customFormat="1" customHeight="1" ht="15">
      <c r="A183" s="10603"/>
      <c r="B183" s="10604"/>
      <c r="C183" s="10605"/>
      <c r="D183" s="10606" t="str">
        <f>B181&amp;".3"</f>
        <v>3.49.3</v>
      </c>
      <c r="E183" s="10607" t="s">
        <v>966</v>
      </c>
      <c r="F183" s="10608" t="s">
        <v>324</v>
      </c>
      <c r="G183" s="10582" t="s">
        <v>22</v>
      </c>
      <c r="H183" s="10610" t="s">
        <v>22</v>
      </c>
      <c r="I183" s="16577" t="s">
        <v>22</v>
      </c>
      <c r="J183" s="10610" t="s">
        <v>22</v>
      </c>
      <c r="K183" s="10582" t="s">
        <v>22</v>
      </c>
      <c r="L183" s="10610" t="s">
        <v>22</v>
      </c>
      <c r="M183" s="10582" t="s">
        <v>22</v>
      </c>
      <c r="N183" s="10610" t="s">
        <v>22</v>
      </c>
      <c r="O183" s="29697" t="s">
        <v>22</v>
      </c>
      <c r="P183" s="29693" t="s">
        <v>22</v>
      </c>
      <c r="Q183" s="10582" t="s">
        <v>22</v>
      </c>
      <c r="R183" s="10610" t="s">
        <v>22</v>
      </c>
      <c r="S183" s="10611" t="s">
        <v>967</v>
      </c>
      <c r="T183" s="10603"/>
      <c r="U183" s="10603"/>
      <c r="V183" s="10603"/>
      <c r="W183" s="10603"/>
      <c r="X183" s="10603"/>
      <c r="Y183" s="10603"/>
      <c r="Z183" s="10603"/>
      <c r="AA183" s="10603"/>
      <c r="AB183" s="10603"/>
      <c r="AC183" s="10612"/>
      <c r="AD183" s="10603">
        <v>0</v>
      </c>
    </row>
    <row s="36451" customFormat="1" customHeight="1" ht="22.5">
      <c r="A184" s="10603"/>
      <c r="B184" s="10604" t="s">
        <v>1028</v>
      </c>
      <c r="C184" s="10605" t="s">
        <v>103</v>
      </c>
      <c r="D184" s="10606" t="str">
        <f>B184&amp;".1"</f>
        <v>3.50.1</v>
      </c>
      <c r="E184" s="10607" t="s">
        <v>963</v>
      </c>
      <c r="F184" s="10608" t="s">
        <v>324</v>
      </c>
      <c r="G184" s="10609" t="s">
        <v>22</v>
      </c>
      <c r="H184" s="10610" t="s">
        <v>22</v>
      </c>
      <c r="I184" s="10609" t="s">
        <v>981</v>
      </c>
      <c r="J184" s="10610" t="s">
        <v>22</v>
      </c>
      <c r="K184" s="10609" t="s">
        <v>981</v>
      </c>
      <c r="L184" s="10610" t="s">
        <v>22</v>
      </c>
      <c r="M184" s="10609" t="s">
        <v>22</v>
      </c>
      <c r="N184" s="10610" t="s">
        <v>22</v>
      </c>
      <c r="O184" s="29692" t="s">
        <v>22</v>
      </c>
      <c r="P184" s="29693" t="s">
        <v>22</v>
      </c>
      <c r="Q184" s="10609" t="s">
        <v>22</v>
      </c>
      <c r="R184" s="10610" t="s">
        <v>22</v>
      </c>
      <c r="S184" s="10611"/>
      <c r="T184" s="10603"/>
      <c r="U184" s="10603"/>
      <c r="V184" s="10603"/>
      <c r="W184" s="10603"/>
      <c r="X184" s="10603"/>
      <c r="Y184" s="10603"/>
      <c r="Z184" s="10603"/>
      <c r="AA184" s="10603"/>
      <c r="AB184" s="10603"/>
      <c r="AC184" s="10612"/>
      <c r="AD184" s="10603">
        <v>0</v>
      </c>
    </row>
    <row s="36452" customFormat="1" customHeight="1" ht="15">
      <c r="A185" s="10603"/>
      <c r="B185" s="10604"/>
      <c r="C185" s="10605"/>
      <c r="D185" s="10606" t="str">
        <f>B184&amp;".2"</f>
        <v>3.50.2</v>
      </c>
      <c r="E185" s="10607" t="s">
        <v>964</v>
      </c>
      <c r="F185" s="10608" t="s">
        <v>324</v>
      </c>
      <c r="G185" s="10582" t="s">
        <v>22</v>
      </c>
      <c r="H185" s="10610" t="s">
        <v>22</v>
      </c>
      <c r="I185" s="19680">
        <v>45394</v>
      </c>
      <c r="J185" s="10610" t="s">
        <v>22</v>
      </c>
      <c r="K185" s="23000">
        <v>45408.659780092596</v>
      </c>
      <c r="L185" s="10610" t="s">
        <v>22</v>
      </c>
      <c r="M185" s="10582" t="s">
        <v>22</v>
      </c>
      <c r="N185" s="10610" t="s">
        <v>22</v>
      </c>
      <c r="O185" s="29697" t="s">
        <v>22</v>
      </c>
      <c r="P185" s="29693" t="s">
        <v>22</v>
      </c>
      <c r="Q185" s="10582" t="s">
        <v>22</v>
      </c>
      <c r="R185" s="10610" t="s">
        <v>22</v>
      </c>
      <c r="S185" s="10611" t="s">
        <v>965</v>
      </c>
      <c r="T185" s="10603"/>
      <c r="U185" s="10603"/>
      <c r="V185" s="10603"/>
      <c r="W185" s="10603"/>
      <c r="X185" s="10603"/>
      <c r="Y185" s="10603"/>
      <c r="Z185" s="10603"/>
      <c r="AA185" s="10603"/>
      <c r="AB185" s="10603"/>
      <c r="AC185" s="10612"/>
      <c r="AD185" s="10603">
        <v>0</v>
      </c>
    </row>
    <row s="36453" customFormat="1" customHeight="1" ht="15">
      <c r="A186" s="10603"/>
      <c r="B186" s="10604"/>
      <c r="C186" s="10605"/>
      <c r="D186" s="10606" t="str">
        <f>B184&amp;".3"</f>
        <v>3.50.3</v>
      </c>
      <c r="E186" s="10607" t="s">
        <v>966</v>
      </c>
      <c r="F186" s="10608" t="s">
        <v>324</v>
      </c>
      <c r="G186" s="10582" t="s">
        <v>22</v>
      </c>
      <c r="H186" s="10610" t="s">
        <v>22</v>
      </c>
      <c r="I186" s="16577" t="s">
        <v>22</v>
      </c>
      <c r="J186" s="10610" t="s">
        <v>22</v>
      </c>
      <c r="K186" s="10582" t="s">
        <v>22</v>
      </c>
      <c r="L186" s="10610" t="s">
        <v>22</v>
      </c>
      <c r="M186" s="10582" t="s">
        <v>22</v>
      </c>
      <c r="N186" s="10610" t="s">
        <v>22</v>
      </c>
      <c r="O186" s="29697" t="s">
        <v>22</v>
      </c>
      <c r="P186" s="29693" t="s">
        <v>22</v>
      </c>
      <c r="Q186" s="10582" t="s">
        <v>22</v>
      </c>
      <c r="R186" s="10610" t="s">
        <v>22</v>
      </c>
      <c r="S186" s="10611" t="s">
        <v>967</v>
      </c>
      <c r="T186" s="10603"/>
      <c r="U186" s="10603"/>
      <c r="V186" s="10603"/>
      <c r="W186" s="10603"/>
      <c r="X186" s="10603"/>
      <c r="Y186" s="10603"/>
      <c r="Z186" s="10603"/>
      <c r="AA186" s="10603"/>
      <c r="AB186" s="10603"/>
      <c r="AC186" s="10612"/>
      <c r="AD186" s="10603">
        <v>0</v>
      </c>
    </row>
    <row s="36454" customFormat="1" customHeight="1" ht="22.5">
      <c r="A187" s="10603"/>
      <c r="B187" s="10604" t="s">
        <v>1029</v>
      </c>
      <c r="C187" s="10605" t="s">
        <v>103</v>
      </c>
      <c r="D187" s="10606" t="str">
        <f>B187&amp;".1"</f>
        <v>3.51.1</v>
      </c>
      <c r="E187" s="10607" t="s">
        <v>963</v>
      </c>
      <c r="F187" s="10608" t="s">
        <v>324</v>
      </c>
      <c r="G187" s="10609" t="s">
        <v>22</v>
      </c>
      <c r="H187" s="10610" t="s">
        <v>22</v>
      </c>
      <c r="I187" s="10609" t="s">
        <v>981</v>
      </c>
      <c r="J187" s="10610" t="s">
        <v>22</v>
      </c>
      <c r="K187" s="10609" t="s">
        <v>981</v>
      </c>
      <c r="L187" s="10610" t="s">
        <v>22</v>
      </c>
      <c r="M187" s="10609" t="s">
        <v>22</v>
      </c>
      <c r="N187" s="10610" t="s">
        <v>22</v>
      </c>
      <c r="O187" s="29692" t="s">
        <v>22</v>
      </c>
      <c r="P187" s="29693" t="s">
        <v>22</v>
      </c>
      <c r="Q187" s="10609" t="s">
        <v>22</v>
      </c>
      <c r="R187" s="10610" t="s">
        <v>22</v>
      </c>
      <c r="S187" s="10611"/>
      <c r="T187" s="10603"/>
      <c r="U187" s="10603"/>
      <c r="V187" s="10603"/>
      <c r="W187" s="10603"/>
      <c r="X187" s="10603"/>
      <c r="Y187" s="10603"/>
      <c r="Z187" s="10603"/>
      <c r="AA187" s="10603"/>
      <c r="AB187" s="10603"/>
      <c r="AC187" s="10612"/>
      <c r="AD187" s="10603">
        <v>0</v>
      </c>
    </row>
    <row s="36455" customFormat="1" customHeight="1" ht="15">
      <c r="A188" s="10603"/>
      <c r="B188" s="10604"/>
      <c r="C188" s="10605"/>
      <c r="D188" s="10606" t="str">
        <f>B187&amp;".2"</f>
        <v>3.51.2</v>
      </c>
      <c r="E188" s="10607" t="s">
        <v>964</v>
      </c>
      <c r="F188" s="10608" t="s">
        <v>324</v>
      </c>
      <c r="G188" s="10582" t="s">
        <v>22</v>
      </c>
      <c r="H188" s="10610" t="s">
        <v>22</v>
      </c>
      <c r="I188" s="19680">
        <v>45397</v>
      </c>
      <c r="J188" s="10610" t="s">
        <v>22</v>
      </c>
      <c r="K188" s="23000">
        <v>45415.659895833334</v>
      </c>
      <c r="L188" s="10610" t="s">
        <v>22</v>
      </c>
      <c r="M188" s="10582" t="s">
        <v>22</v>
      </c>
      <c r="N188" s="10610" t="s">
        <v>22</v>
      </c>
      <c r="O188" s="29697" t="s">
        <v>22</v>
      </c>
      <c r="P188" s="29693" t="s">
        <v>22</v>
      </c>
      <c r="Q188" s="10582" t="s">
        <v>22</v>
      </c>
      <c r="R188" s="10610" t="s">
        <v>22</v>
      </c>
      <c r="S188" s="10611" t="s">
        <v>965</v>
      </c>
      <c r="T188" s="10603"/>
      <c r="U188" s="10603"/>
      <c r="V188" s="10603"/>
      <c r="W188" s="10603"/>
      <c r="X188" s="10603"/>
      <c r="Y188" s="10603"/>
      <c r="Z188" s="10603"/>
      <c r="AA188" s="10603"/>
      <c r="AB188" s="10603"/>
      <c r="AC188" s="10612"/>
      <c r="AD188" s="10603">
        <v>0</v>
      </c>
    </row>
    <row s="36456" customFormat="1" customHeight="1" ht="15">
      <c r="A189" s="10603"/>
      <c r="B189" s="10604"/>
      <c r="C189" s="10605"/>
      <c r="D189" s="10606" t="str">
        <f>B187&amp;".3"</f>
        <v>3.51.3</v>
      </c>
      <c r="E189" s="10607" t="s">
        <v>966</v>
      </c>
      <c r="F189" s="10608" t="s">
        <v>324</v>
      </c>
      <c r="G189" s="10582" t="s">
        <v>22</v>
      </c>
      <c r="H189" s="10610" t="s">
        <v>22</v>
      </c>
      <c r="I189" s="19680" t="s">
        <v>22</v>
      </c>
      <c r="J189" s="10610" t="s">
        <v>22</v>
      </c>
      <c r="K189" s="10582" t="s">
        <v>22</v>
      </c>
      <c r="L189" s="10610" t="s">
        <v>22</v>
      </c>
      <c r="M189" s="10582" t="s">
        <v>22</v>
      </c>
      <c r="N189" s="10610" t="s">
        <v>22</v>
      </c>
      <c r="O189" s="29697" t="s">
        <v>22</v>
      </c>
      <c r="P189" s="29693" t="s">
        <v>22</v>
      </c>
      <c r="Q189" s="10582" t="s">
        <v>22</v>
      </c>
      <c r="R189" s="10610" t="s">
        <v>22</v>
      </c>
      <c r="S189" s="10611" t="s">
        <v>967</v>
      </c>
      <c r="T189" s="10603"/>
      <c r="U189" s="10603"/>
      <c r="V189" s="10603"/>
      <c r="W189" s="10603"/>
      <c r="X189" s="10603"/>
      <c r="Y189" s="10603"/>
      <c r="Z189" s="10603"/>
      <c r="AA189" s="10603"/>
      <c r="AB189" s="10603"/>
      <c r="AC189" s="10612"/>
      <c r="AD189" s="10603">
        <v>0</v>
      </c>
    </row>
    <row s="36457" customFormat="1" customHeight="1" ht="22.5">
      <c r="A190" s="10603"/>
      <c r="B190" s="10604" t="s">
        <v>1030</v>
      </c>
      <c r="C190" s="10605" t="s">
        <v>103</v>
      </c>
      <c r="D190" s="10606" t="str">
        <f>B190&amp;".1"</f>
        <v>3.52.1</v>
      </c>
      <c r="E190" s="10607" t="s">
        <v>963</v>
      </c>
      <c r="F190" s="10608" t="s">
        <v>324</v>
      </c>
      <c r="G190" s="10609" t="s">
        <v>22</v>
      </c>
      <c r="H190" s="10610" t="s">
        <v>22</v>
      </c>
      <c r="I190" s="10609" t="s">
        <v>1031</v>
      </c>
      <c r="J190" s="10610" t="s">
        <v>22</v>
      </c>
      <c r="K190" s="10609" t="s">
        <v>981</v>
      </c>
      <c r="L190" s="10610" t="s">
        <v>22</v>
      </c>
      <c r="M190" s="10609" t="s">
        <v>22</v>
      </c>
      <c r="N190" s="10610" t="s">
        <v>22</v>
      </c>
      <c r="O190" s="29692" t="s">
        <v>22</v>
      </c>
      <c r="P190" s="29693" t="s">
        <v>22</v>
      </c>
      <c r="Q190" s="10609" t="s">
        <v>22</v>
      </c>
      <c r="R190" s="10610" t="s">
        <v>22</v>
      </c>
      <c r="S190" s="10611"/>
      <c r="T190" s="10603"/>
      <c r="U190" s="10603"/>
      <c r="V190" s="10603"/>
      <c r="W190" s="10603"/>
      <c r="X190" s="10603"/>
      <c r="Y190" s="10603"/>
      <c r="Z190" s="10603"/>
      <c r="AA190" s="10603"/>
      <c r="AB190" s="10603"/>
      <c r="AC190" s="10612"/>
      <c r="AD190" s="10603">
        <v>0</v>
      </c>
    </row>
    <row s="36458" customFormat="1" customHeight="1" ht="15">
      <c r="A191" s="10603"/>
      <c r="B191" s="10604"/>
      <c r="C191" s="10605"/>
      <c r="D191" s="10606" t="str">
        <f>B190&amp;".2"</f>
        <v>3.52.2</v>
      </c>
      <c r="E191" s="10607" t="s">
        <v>964</v>
      </c>
      <c r="F191" s="10608" t="s">
        <v>324</v>
      </c>
      <c r="G191" s="10582" t="s">
        <v>22</v>
      </c>
      <c r="H191" s="10610" t="s">
        <v>22</v>
      </c>
      <c r="I191" s="19680">
        <v>45397</v>
      </c>
      <c r="J191" s="10610" t="s">
        <v>22</v>
      </c>
      <c r="K191" s="10582">
        <v>45415.66153935185</v>
      </c>
      <c r="L191" s="10610" t="s">
        <v>22</v>
      </c>
      <c r="M191" s="10582" t="s">
        <v>22</v>
      </c>
      <c r="N191" s="10610" t="s">
        <v>22</v>
      </c>
      <c r="O191" s="29697" t="s">
        <v>22</v>
      </c>
      <c r="P191" s="29693" t="s">
        <v>22</v>
      </c>
      <c r="Q191" s="10582" t="s">
        <v>22</v>
      </c>
      <c r="R191" s="10610" t="s">
        <v>22</v>
      </c>
      <c r="S191" s="10611" t="s">
        <v>965</v>
      </c>
      <c r="T191" s="10603"/>
      <c r="U191" s="10603"/>
      <c r="V191" s="10603"/>
      <c r="W191" s="10603"/>
      <c r="X191" s="10603"/>
      <c r="Y191" s="10603"/>
      <c r="Z191" s="10603"/>
      <c r="AA191" s="10603"/>
      <c r="AB191" s="10603"/>
      <c r="AC191" s="10612"/>
      <c r="AD191" s="10603">
        <v>0</v>
      </c>
    </row>
    <row s="36459" customFormat="1" customHeight="1" ht="15">
      <c r="A192" s="10603"/>
      <c r="B192" s="10604"/>
      <c r="C192" s="10605"/>
      <c r="D192" s="10606" t="str">
        <f>B190&amp;".3"</f>
        <v>3.52.3</v>
      </c>
      <c r="E192" s="10607" t="s">
        <v>966</v>
      </c>
      <c r="F192" s="10608" t="s">
        <v>324</v>
      </c>
      <c r="G192" s="10582" t="s">
        <v>22</v>
      </c>
      <c r="H192" s="10610" t="s">
        <v>22</v>
      </c>
      <c r="I192" s="16577" t="s">
        <v>22</v>
      </c>
      <c r="J192" s="10610" t="s">
        <v>22</v>
      </c>
      <c r="K192" s="10582" t="s">
        <v>22</v>
      </c>
      <c r="L192" s="10610" t="s">
        <v>22</v>
      </c>
      <c r="M192" s="10582" t="s">
        <v>22</v>
      </c>
      <c r="N192" s="10610" t="s">
        <v>22</v>
      </c>
      <c r="O192" s="29697" t="s">
        <v>22</v>
      </c>
      <c r="P192" s="29693" t="s">
        <v>22</v>
      </c>
      <c r="Q192" s="10582" t="s">
        <v>22</v>
      </c>
      <c r="R192" s="10610" t="s">
        <v>22</v>
      </c>
      <c r="S192" s="10611" t="s">
        <v>967</v>
      </c>
      <c r="T192" s="10603"/>
      <c r="U192" s="10603"/>
      <c r="V192" s="10603"/>
      <c r="W192" s="10603"/>
      <c r="X192" s="10603"/>
      <c r="Y192" s="10603"/>
      <c r="Z192" s="10603"/>
      <c r="AA192" s="10603"/>
      <c r="AB192" s="10603"/>
      <c r="AC192" s="10612"/>
      <c r="AD192" s="10603">
        <v>0</v>
      </c>
    </row>
    <row s="36460" customFormat="1" customHeight="1" ht="22.5">
      <c r="A193" s="10603"/>
      <c r="B193" s="10604" t="s">
        <v>1032</v>
      </c>
      <c r="C193" s="10605" t="s">
        <v>103</v>
      </c>
      <c r="D193" s="10606" t="str">
        <f>B193&amp;".1"</f>
        <v>3.53.1</v>
      </c>
      <c r="E193" s="10607" t="s">
        <v>963</v>
      </c>
      <c r="F193" s="10608" t="s">
        <v>324</v>
      </c>
      <c r="G193" s="10609" t="s">
        <v>22</v>
      </c>
      <c r="H193" s="10610" t="s">
        <v>22</v>
      </c>
      <c r="I193" s="10609" t="s">
        <v>981</v>
      </c>
      <c r="J193" s="10610" t="s">
        <v>22</v>
      </c>
      <c r="K193" s="10609" t="s">
        <v>981</v>
      </c>
      <c r="L193" s="10610" t="s">
        <v>22</v>
      </c>
      <c r="M193" s="10609" t="s">
        <v>22</v>
      </c>
      <c r="N193" s="10610" t="s">
        <v>22</v>
      </c>
      <c r="O193" s="29692" t="s">
        <v>22</v>
      </c>
      <c r="P193" s="29693" t="s">
        <v>22</v>
      </c>
      <c r="Q193" s="10609" t="s">
        <v>22</v>
      </c>
      <c r="R193" s="10610" t="s">
        <v>22</v>
      </c>
      <c r="S193" s="10611"/>
      <c r="T193" s="10603"/>
      <c r="U193" s="10603"/>
      <c r="V193" s="10603"/>
      <c r="W193" s="10603"/>
      <c r="X193" s="10603"/>
      <c r="Y193" s="10603"/>
      <c r="Z193" s="10603"/>
      <c r="AA193" s="10603"/>
      <c r="AB193" s="10603"/>
      <c r="AC193" s="10612"/>
      <c r="AD193" s="10603">
        <v>0</v>
      </c>
    </row>
    <row s="36461" customFormat="1" customHeight="1" ht="15">
      <c r="A194" s="10603"/>
      <c r="B194" s="10604"/>
      <c r="C194" s="10605"/>
      <c r="D194" s="10606" t="str">
        <f>B193&amp;".2"</f>
        <v>3.53.2</v>
      </c>
      <c r="E194" s="10607" t="s">
        <v>964</v>
      </c>
      <c r="F194" s="10608" t="s">
        <v>324</v>
      </c>
      <c r="G194" s="10582" t="s">
        <v>22</v>
      </c>
      <c r="H194" s="10610" t="s">
        <v>22</v>
      </c>
      <c r="I194" s="19680">
        <v>45397</v>
      </c>
      <c r="J194" s="10610" t="s">
        <v>22</v>
      </c>
      <c r="K194" s="10582">
        <v>45415.6616087963</v>
      </c>
      <c r="L194" s="10610" t="s">
        <v>22</v>
      </c>
      <c r="M194" s="10582" t="s">
        <v>22</v>
      </c>
      <c r="N194" s="10610" t="s">
        <v>22</v>
      </c>
      <c r="O194" s="29697" t="s">
        <v>22</v>
      </c>
      <c r="P194" s="29693" t="s">
        <v>22</v>
      </c>
      <c r="Q194" s="10582" t="s">
        <v>22</v>
      </c>
      <c r="R194" s="10610" t="s">
        <v>22</v>
      </c>
      <c r="S194" s="10611" t="s">
        <v>965</v>
      </c>
      <c r="T194" s="10603"/>
      <c r="U194" s="10603"/>
      <c r="V194" s="10603"/>
      <c r="W194" s="10603"/>
      <c r="X194" s="10603"/>
      <c r="Y194" s="10603"/>
      <c r="Z194" s="10603"/>
      <c r="AA194" s="10603"/>
      <c r="AB194" s="10603"/>
      <c r="AC194" s="10612"/>
      <c r="AD194" s="10603">
        <v>0</v>
      </c>
    </row>
    <row s="36462" customFormat="1" customHeight="1" ht="15">
      <c r="A195" s="10603"/>
      <c r="B195" s="10604"/>
      <c r="C195" s="10605"/>
      <c r="D195" s="10606" t="str">
        <f>B193&amp;".3"</f>
        <v>3.53.3</v>
      </c>
      <c r="E195" s="10607" t="s">
        <v>966</v>
      </c>
      <c r="F195" s="10608" t="s">
        <v>324</v>
      </c>
      <c r="G195" s="10582" t="s">
        <v>22</v>
      </c>
      <c r="H195" s="10610" t="s">
        <v>22</v>
      </c>
      <c r="I195" s="19680" t="s">
        <v>22</v>
      </c>
      <c r="J195" s="10610" t="s">
        <v>22</v>
      </c>
      <c r="K195" s="10582" t="s">
        <v>22</v>
      </c>
      <c r="L195" s="10610" t="s">
        <v>22</v>
      </c>
      <c r="M195" s="10582" t="s">
        <v>22</v>
      </c>
      <c r="N195" s="10610" t="s">
        <v>22</v>
      </c>
      <c r="O195" s="29697" t="s">
        <v>22</v>
      </c>
      <c r="P195" s="29693" t="s">
        <v>22</v>
      </c>
      <c r="Q195" s="10582" t="s">
        <v>22</v>
      </c>
      <c r="R195" s="10610" t="s">
        <v>22</v>
      </c>
      <c r="S195" s="10611" t="s">
        <v>967</v>
      </c>
      <c r="T195" s="10603"/>
      <c r="U195" s="10603"/>
      <c r="V195" s="10603"/>
      <c r="W195" s="10603"/>
      <c r="X195" s="10603"/>
      <c r="Y195" s="10603"/>
      <c r="Z195" s="10603"/>
      <c r="AA195" s="10603"/>
      <c r="AB195" s="10603"/>
      <c r="AC195" s="10612"/>
      <c r="AD195" s="10603">
        <v>0</v>
      </c>
    </row>
    <row s="36463" customFormat="1" customHeight="1" ht="22.5">
      <c r="A196" s="10603"/>
      <c r="B196" s="10604" t="s">
        <v>1033</v>
      </c>
      <c r="C196" s="10605" t="s">
        <v>103</v>
      </c>
      <c r="D196" s="10606" t="str">
        <f>B196&amp;".1"</f>
        <v>3.54.1</v>
      </c>
      <c r="E196" s="10607" t="s">
        <v>963</v>
      </c>
      <c r="F196" s="10608" t="s">
        <v>324</v>
      </c>
      <c r="G196" s="10609" t="s">
        <v>22</v>
      </c>
      <c r="H196" s="10610" t="s">
        <v>22</v>
      </c>
      <c r="I196" s="10609" t="s">
        <v>981</v>
      </c>
      <c r="J196" s="10610" t="s">
        <v>22</v>
      </c>
      <c r="K196" s="10609" t="s">
        <v>981</v>
      </c>
      <c r="L196" s="10610" t="s">
        <v>22</v>
      </c>
      <c r="M196" s="10609" t="s">
        <v>22</v>
      </c>
      <c r="N196" s="10610" t="s">
        <v>22</v>
      </c>
      <c r="O196" s="29692" t="s">
        <v>22</v>
      </c>
      <c r="P196" s="29693" t="s">
        <v>22</v>
      </c>
      <c r="Q196" s="10609" t="s">
        <v>22</v>
      </c>
      <c r="R196" s="10610" t="s">
        <v>22</v>
      </c>
      <c r="S196" s="10611"/>
      <c r="T196" s="10603"/>
      <c r="U196" s="10603"/>
      <c r="V196" s="10603"/>
      <c r="W196" s="10603"/>
      <c r="X196" s="10603"/>
      <c r="Y196" s="10603"/>
      <c r="Z196" s="10603"/>
      <c r="AA196" s="10603"/>
      <c r="AB196" s="10603"/>
      <c r="AC196" s="10612"/>
      <c r="AD196" s="10603">
        <v>0</v>
      </c>
    </row>
    <row s="36464" customFormat="1" customHeight="1" ht="15">
      <c r="A197" s="10603"/>
      <c r="B197" s="10604"/>
      <c r="C197" s="10605"/>
      <c r="D197" s="10606" t="str">
        <f>B196&amp;".2"</f>
        <v>3.54.2</v>
      </c>
      <c r="E197" s="10607" t="s">
        <v>964</v>
      </c>
      <c r="F197" s="10608" t="s">
        <v>324</v>
      </c>
      <c r="G197" s="10582" t="s">
        <v>22</v>
      </c>
      <c r="H197" s="10610" t="s">
        <v>22</v>
      </c>
      <c r="I197" s="19680">
        <v>45397</v>
      </c>
      <c r="J197" s="10610" t="s">
        <v>22</v>
      </c>
      <c r="K197" s="10582">
        <v>45415.66168981481</v>
      </c>
      <c r="L197" s="10610" t="s">
        <v>22</v>
      </c>
      <c r="M197" s="10582" t="s">
        <v>22</v>
      </c>
      <c r="N197" s="10610" t="s">
        <v>22</v>
      </c>
      <c r="O197" s="29697" t="s">
        <v>22</v>
      </c>
      <c r="P197" s="29693" t="s">
        <v>22</v>
      </c>
      <c r="Q197" s="10582" t="s">
        <v>22</v>
      </c>
      <c r="R197" s="10610" t="s">
        <v>22</v>
      </c>
      <c r="S197" s="10611" t="s">
        <v>965</v>
      </c>
      <c r="T197" s="10603"/>
      <c r="U197" s="10603"/>
      <c r="V197" s="10603"/>
      <c r="W197" s="10603"/>
      <c r="X197" s="10603"/>
      <c r="Y197" s="10603"/>
      <c r="Z197" s="10603"/>
      <c r="AA197" s="10603"/>
      <c r="AB197" s="10603"/>
      <c r="AC197" s="10612"/>
      <c r="AD197" s="10603">
        <v>0</v>
      </c>
    </row>
    <row s="36465" customFormat="1" customHeight="1" ht="15">
      <c r="A198" s="10603"/>
      <c r="B198" s="10604"/>
      <c r="C198" s="10605"/>
      <c r="D198" s="10606" t="str">
        <f>B196&amp;".3"</f>
        <v>3.54.3</v>
      </c>
      <c r="E198" s="10607" t="s">
        <v>966</v>
      </c>
      <c r="F198" s="10608" t="s">
        <v>324</v>
      </c>
      <c r="G198" s="10582" t="s">
        <v>22</v>
      </c>
      <c r="H198" s="10610" t="s">
        <v>22</v>
      </c>
      <c r="I198" s="19680" t="s">
        <v>22</v>
      </c>
      <c r="J198" s="10610" t="s">
        <v>22</v>
      </c>
      <c r="K198" s="10582" t="s">
        <v>22</v>
      </c>
      <c r="L198" s="10610" t="s">
        <v>22</v>
      </c>
      <c r="M198" s="10582" t="s">
        <v>22</v>
      </c>
      <c r="N198" s="10610" t="s">
        <v>22</v>
      </c>
      <c r="O198" s="29697" t="s">
        <v>22</v>
      </c>
      <c r="P198" s="29693" t="s">
        <v>22</v>
      </c>
      <c r="Q198" s="10582" t="s">
        <v>22</v>
      </c>
      <c r="R198" s="10610" t="s">
        <v>22</v>
      </c>
      <c r="S198" s="10611" t="s">
        <v>967</v>
      </c>
      <c r="T198" s="10603"/>
      <c r="U198" s="10603"/>
      <c r="V198" s="10603"/>
      <c r="W198" s="10603"/>
      <c r="X198" s="10603"/>
      <c r="Y198" s="10603"/>
      <c r="Z198" s="10603"/>
      <c r="AA198" s="10603"/>
      <c r="AB198" s="10603"/>
      <c r="AC198" s="10612"/>
      <c r="AD198" s="10603">
        <v>0</v>
      </c>
    </row>
    <row s="36466" customFormat="1" customHeight="1" ht="22.5">
      <c r="A199" s="10603"/>
      <c r="B199" s="10604" t="s">
        <v>1034</v>
      </c>
      <c r="C199" s="10605" t="s">
        <v>103</v>
      </c>
      <c r="D199" s="10606" t="str">
        <f>B199&amp;".1"</f>
        <v>3.55.1</v>
      </c>
      <c r="E199" s="10607" t="s">
        <v>963</v>
      </c>
      <c r="F199" s="10608" t="s">
        <v>324</v>
      </c>
      <c r="G199" s="10609" t="s">
        <v>22</v>
      </c>
      <c r="H199" s="10610" t="s">
        <v>22</v>
      </c>
      <c r="I199" s="10609" t="s">
        <v>981</v>
      </c>
      <c r="J199" s="10610" t="s">
        <v>22</v>
      </c>
      <c r="K199" s="10609" t="s">
        <v>981</v>
      </c>
      <c r="L199" s="10610" t="s">
        <v>22</v>
      </c>
      <c r="M199" s="10609" t="s">
        <v>22</v>
      </c>
      <c r="N199" s="10610" t="s">
        <v>22</v>
      </c>
      <c r="O199" s="29692" t="s">
        <v>22</v>
      </c>
      <c r="P199" s="29693" t="s">
        <v>22</v>
      </c>
      <c r="Q199" s="10609" t="s">
        <v>22</v>
      </c>
      <c r="R199" s="10610" t="s">
        <v>22</v>
      </c>
      <c r="S199" s="10611"/>
      <c r="T199" s="10603"/>
      <c r="U199" s="10603"/>
      <c r="V199" s="10603"/>
      <c r="W199" s="10603"/>
      <c r="X199" s="10603"/>
      <c r="Y199" s="10603"/>
      <c r="Z199" s="10603"/>
      <c r="AA199" s="10603"/>
      <c r="AB199" s="10603"/>
      <c r="AC199" s="10612"/>
      <c r="AD199" s="10603">
        <v>0</v>
      </c>
    </row>
    <row s="36467" customFormat="1" customHeight="1" ht="15">
      <c r="A200" s="10603"/>
      <c r="B200" s="10604"/>
      <c r="C200" s="10605"/>
      <c r="D200" s="10606" t="str">
        <f>B199&amp;".2"</f>
        <v>3.55.2</v>
      </c>
      <c r="E200" s="10607" t="s">
        <v>964</v>
      </c>
      <c r="F200" s="10608" t="s">
        <v>324</v>
      </c>
      <c r="G200" s="10582" t="s">
        <v>22</v>
      </c>
      <c r="H200" s="10610" t="s">
        <v>22</v>
      </c>
      <c r="I200" s="19680">
        <v>45397</v>
      </c>
      <c r="J200" s="10610" t="s">
        <v>22</v>
      </c>
      <c r="K200" s="23000">
        <v>45418.661782407406</v>
      </c>
      <c r="L200" s="10610" t="s">
        <v>22</v>
      </c>
      <c r="M200" s="10582" t="s">
        <v>22</v>
      </c>
      <c r="N200" s="10610" t="s">
        <v>22</v>
      </c>
      <c r="O200" s="29697" t="s">
        <v>22</v>
      </c>
      <c r="P200" s="29693" t="s">
        <v>22</v>
      </c>
      <c r="Q200" s="10582" t="s">
        <v>22</v>
      </c>
      <c r="R200" s="10610" t="s">
        <v>22</v>
      </c>
      <c r="S200" s="10611" t="s">
        <v>965</v>
      </c>
      <c r="T200" s="10603"/>
      <c r="U200" s="10603"/>
      <c r="V200" s="10603"/>
      <c r="W200" s="10603"/>
      <c r="X200" s="10603"/>
      <c r="Y200" s="10603"/>
      <c r="Z200" s="10603"/>
      <c r="AA200" s="10603"/>
      <c r="AB200" s="10603"/>
      <c r="AC200" s="10612"/>
      <c r="AD200" s="10603">
        <v>0</v>
      </c>
    </row>
    <row s="36468" customFormat="1" customHeight="1" ht="15">
      <c r="A201" s="10603"/>
      <c r="B201" s="10604"/>
      <c r="C201" s="10605"/>
      <c r="D201" s="10606" t="str">
        <f>B199&amp;".3"</f>
        <v>3.55.3</v>
      </c>
      <c r="E201" s="10607" t="s">
        <v>966</v>
      </c>
      <c r="F201" s="10608" t="s">
        <v>324</v>
      </c>
      <c r="G201" s="10582" t="s">
        <v>22</v>
      </c>
      <c r="H201" s="10610" t="s">
        <v>22</v>
      </c>
      <c r="I201" s="19680" t="s">
        <v>22</v>
      </c>
      <c r="J201" s="10610" t="s">
        <v>22</v>
      </c>
      <c r="K201" s="10582" t="s">
        <v>22</v>
      </c>
      <c r="L201" s="10610" t="s">
        <v>22</v>
      </c>
      <c r="M201" s="10582" t="s">
        <v>22</v>
      </c>
      <c r="N201" s="10610" t="s">
        <v>22</v>
      </c>
      <c r="O201" s="29697" t="s">
        <v>22</v>
      </c>
      <c r="P201" s="29693" t="s">
        <v>22</v>
      </c>
      <c r="Q201" s="10582" t="s">
        <v>22</v>
      </c>
      <c r="R201" s="10610" t="s">
        <v>22</v>
      </c>
      <c r="S201" s="10611" t="s">
        <v>967</v>
      </c>
      <c r="T201" s="10603"/>
      <c r="U201" s="10603"/>
      <c r="V201" s="10603"/>
      <c r="W201" s="10603"/>
      <c r="X201" s="10603"/>
      <c r="Y201" s="10603"/>
      <c r="Z201" s="10603"/>
      <c r="AA201" s="10603"/>
      <c r="AB201" s="10603"/>
      <c r="AC201" s="10612"/>
      <c r="AD201" s="10603">
        <v>0</v>
      </c>
    </row>
    <row s="36469" customFormat="1" customHeight="1" ht="42">
      <c r="A202" s="10603"/>
      <c r="B202" s="10604" t="s">
        <v>1035</v>
      </c>
      <c r="C202" s="10605" t="s">
        <v>103</v>
      </c>
      <c r="D202" s="10606" t="str">
        <f>B202&amp;".1"</f>
        <v>3.56.1</v>
      </c>
      <c r="E202" s="10607" t="s">
        <v>963</v>
      </c>
      <c r="F202" s="10608" t="s">
        <v>324</v>
      </c>
      <c r="G202" s="10609" t="s">
        <v>22</v>
      </c>
      <c r="H202" s="10610" t="s">
        <v>22</v>
      </c>
      <c r="I202" s="10609" t="s">
        <v>981</v>
      </c>
      <c r="J202" s="10610" t="s">
        <v>22</v>
      </c>
      <c r="K202" s="10609" t="s">
        <v>981</v>
      </c>
      <c r="L202" s="10610" t="s">
        <v>22</v>
      </c>
      <c r="M202" s="10609" t="s">
        <v>22</v>
      </c>
      <c r="N202" s="10610" t="s">
        <v>22</v>
      </c>
      <c r="O202" s="29692" t="s">
        <v>22</v>
      </c>
      <c r="P202" s="29693" t="s">
        <v>22</v>
      </c>
      <c r="Q202" s="10609" t="s">
        <v>22</v>
      </c>
      <c r="R202" s="10610" t="s">
        <v>22</v>
      </c>
      <c r="S202" s="10611"/>
      <c r="T202" s="10603"/>
      <c r="U202" s="10603"/>
      <c r="V202" s="10603"/>
      <c r="W202" s="10603"/>
      <c r="X202" s="10603"/>
      <c r="Y202" s="10603"/>
      <c r="Z202" s="10603"/>
      <c r="AA202" s="10603"/>
      <c r="AB202" s="10603"/>
      <c r="AC202" s="10612"/>
      <c r="AD202" s="10603">
        <v>0</v>
      </c>
    </row>
    <row s="36470" customFormat="1" customHeight="1" ht="15">
      <c r="A203" s="10603"/>
      <c r="B203" s="10604"/>
      <c r="C203" s="10605"/>
      <c r="D203" s="10606" t="str">
        <f>B202&amp;".2"</f>
        <v>3.56.2</v>
      </c>
      <c r="E203" s="10607" t="s">
        <v>964</v>
      </c>
      <c r="F203" s="10608" t="s">
        <v>324</v>
      </c>
      <c r="G203" s="10582" t="s">
        <v>22</v>
      </c>
      <c r="H203" s="10610" t="s">
        <v>22</v>
      </c>
      <c r="I203" s="19680">
        <v>45397</v>
      </c>
      <c r="J203" s="10610" t="s">
        <v>22</v>
      </c>
      <c r="K203" s="10582">
        <v>45418.66289351852</v>
      </c>
      <c r="L203" s="10610" t="s">
        <v>22</v>
      </c>
      <c r="M203" s="10582" t="s">
        <v>22</v>
      </c>
      <c r="N203" s="10610" t="s">
        <v>22</v>
      </c>
      <c r="O203" s="29697" t="s">
        <v>22</v>
      </c>
      <c r="P203" s="29693" t="s">
        <v>22</v>
      </c>
      <c r="Q203" s="10582" t="s">
        <v>22</v>
      </c>
      <c r="R203" s="10610" t="s">
        <v>22</v>
      </c>
      <c r="S203" s="10611" t="s">
        <v>965</v>
      </c>
      <c r="T203" s="10603"/>
      <c r="U203" s="10603"/>
      <c r="V203" s="10603"/>
      <c r="W203" s="10603"/>
      <c r="X203" s="10603"/>
      <c r="Y203" s="10603"/>
      <c r="Z203" s="10603"/>
      <c r="AA203" s="10603"/>
      <c r="AB203" s="10603"/>
      <c r="AC203" s="10612"/>
      <c r="AD203" s="10603">
        <v>0</v>
      </c>
    </row>
    <row s="36471" customFormat="1" customHeight="1" ht="15">
      <c r="A204" s="10603"/>
      <c r="B204" s="10604"/>
      <c r="C204" s="10605"/>
      <c r="D204" s="10606" t="str">
        <f>B202&amp;".3"</f>
        <v>3.56.3</v>
      </c>
      <c r="E204" s="10607" t="s">
        <v>966</v>
      </c>
      <c r="F204" s="10608" t="s">
        <v>324</v>
      </c>
      <c r="G204" s="10582" t="s">
        <v>22</v>
      </c>
      <c r="H204" s="10610" t="s">
        <v>22</v>
      </c>
      <c r="I204" s="19680" t="s">
        <v>22</v>
      </c>
      <c r="J204" s="10610" t="s">
        <v>22</v>
      </c>
      <c r="K204" s="10582" t="s">
        <v>22</v>
      </c>
      <c r="L204" s="10610" t="s">
        <v>22</v>
      </c>
      <c r="M204" s="10582" t="s">
        <v>22</v>
      </c>
      <c r="N204" s="10610" t="s">
        <v>22</v>
      </c>
      <c r="O204" s="29697" t="s">
        <v>22</v>
      </c>
      <c r="P204" s="29693" t="s">
        <v>22</v>
      </c>
      <c r="Q204" s="10582" t="s">
        <v>22</v>
      </c>
      <c r="R204" s="10610" t="s">
        <v>22</v>
      </c>
      <c r="S204" s="10611" t="s">
        <v>967</v>
      </c>
      <c r="T204" s="10603"/>
      <c r="U204" s="10603"/>
      <c r="V204" s="10603"/>
      <c r="W204" s="10603"/>
      <c r="X204" s="10603"/>
      <c r="Y204" s="10603"/>
      <c r="Z204" s="10603"/>
      <c r="AA204" s="10603"/>
      <c r="AB204" s="10603"/>
      <c r="AC204" s="10612"/>
      <c r="AD204" s="10603">
        <v>0</v>
      </c>
    </row>
    <row s="36472" customFormat="1" customHeight="1" ht="38.25">
      <c r="A205" s="10603"/>
      <c r="B205" s="10604" t="s">
        <v>1036</v>
      </c>
      <c r="C205" s="10605" t="s">
        <v>103</v>
      </c>
      <c r="D205" s="10606" t="str">
        <f>B205&amp;".1"</f>
        <v>3.57.1</v>
      </c>
      <c r="E205" s="10607" t="s">
        <v>963</v>
      </c>
      <c r="F205" s="10608" t="s">
        <v>324</v>
      </c>
      <c r="G205" s="10609" t="s">
        <v>22</v>
      </c>
      <c r="H205" s="10610" t="s">
        <v>22</v>
      </c>
      <c r="I205" s="10609" t="s">
        <v>981</v>
      </c>
      <c r="J205" s="10610" t="s">
        <v>22</v>
      </c>
      <c r="K205" s="10609"/>
      <c r="L205" s="10610" t="s">
        <v>22</v>
      </c>
      <c r="M205" s="10609" t="s">
        <v>22</v>
      </c>
      <c r="N205" s="10610" t="s">
        <v>22</v>
      </c>
      <c r="O205" s="29692" t="s">
        <v>22</v>
      </c>
      <c r="P205" s="29693" t="s">
        <v>22</v>
      </c>
      <c r="Q205" s="10609" t="s">
        <v>22</v>
      </c>
      <c r="R205" s="10610" t="s">
        <v>22</v>
      </c>
      <c r="S205" s="10611"/>
      <c r="T205" s="10603"/>
      <c r="U205" s="10603"/>
      <c r="V205" s="10603"/>
      <c r="W205" s="10603"/>
      <c r="X205" s="10603"/>
      <c r="Y205" s="10603"/>
      <c r="Z205" s="10603"/>
      <c r="AA205" s="10603"/>
      <c r="AB205" s="10603"/>
      <c r="AC205" s="10612"/>
      <c r="AD205" s="10603">
        <v>0</v>
      </c>
    </row>
    <row s="36473" customFormat="1" customHeight="1" ht="15">
      <c r="A206" s="10603"/>
      <c r="B206" s="10604"/>
      <c r="C206" s="10605"/>
      <c r="D206" s="10606" t="str">
        <f>B205&amp;".2"</f>
        <v>3.57.2</v>
      </c>
      <c r="E206" s="10607" t="s">
        <v>964</v>
      </c>
      <c r="F206" s="10608" t="s">
        <v>324</v>
      </c>
      <c r="G206" s="10582" t="s">
        <v>22</v>
      </c>
      <c r="H206" s="10610" t="s">
        <v>22</v>
      </c>
      <c r="I206" s="19680">
        <v>45397</v>
      </c>
      <c r="J206" s="10610" t="s">
        <v>22</v>
      </c>
      <c r="K206" s="23000"/>
      <c r="L206" s="10610" t="s">
        <v>22</v>
      </c>
      <c r="M206" s="10582" t="s">
        <v>22</v>
      </c>
      <c r="N206" s="10610" t="s">
        <v>22</v>
      </c>
      <c r="O206" s="29697" t="s">
        <v>22</v>
      </c>
      <c r="P206" s="29693" t="s">
        <v>22</v>
      </c>
      <c r="Q206" s="10582" t="s">
        <v>22</v>
      </c>
      <c r="R206" s="10610" t="s">
        <v>22</v>
      </c>
      <c r="S206" s="10611" t="s">
        <v>965</v>
      </c>
      <c r="T206" s="10603"/>
      <c r="U206" s="10603"/>
      <c r="V206" s="10603"/>
      <c r="W206" s="10603"/>
      <c r="X206" s="10603"/>
      <c r="Y206" s="10603"/>
      <c r="Z206" s="10603"/>
      <c r="AA206" s="10603"/>
      <c r="AB206" s="10603"/>
      <c r="AC206" s="10612"/>
      <c r="AD206" s="10603">
        <v>0</v>
      </c>
    </row>
    <row s="36474" customFormat="1" customHeight="1" ht="15">
      <c r="A207" s="10603"/>
      <c r="B207" s="10604"/>
      <c r="C207" s="10605"/>
      <c r="D207" s="10606" t="str">
        <f>B205&amp;".3"</f>
        <v>3.57.3</v>
      </c>
      <c r="E207" s="10607" t="s">
        <v>966</v>
      </c>
      <c r="F207" s="10608" t="s">
        <v>324</v>
      </c>
      <c r="G207" s="10582" t="s">
        <v>22</v>
      </c>
      <c r="H207" s="10610" t="s">
        <v>22</v>
      </c>
      <c r="I207" s="19680" t="s">
        <v>22</v>
      </c>
      <c r="J207" s="10610" t="s">
        <v>22</v>
      </c>
      <c r="K207" s="10582" t="s">
        <v>22</v>
      </c>
      <c r="L207" s="10610" t="s">
        <v>22</v>
      </c>
      <c r="M207" s="10582" t="s">
        <v>22</v>
      </c>
      <c r="N207" s="10610" t="s">
        <v>22</v>
      </c>
      <c r="O207" s="29697" t="s">
        <v>22</v>
      </c>
      <c r="P207" s="29693" t="s">
        <v>22</v>
      </c>
      <c r="Q207" s="10582" t="s">
        <v>22</v>
      </c>
      <c r="R207" s="10610" t="s">
        <v>22</v>
      </c>
      <c r="S207" s="10611" t="s">
        <v>967</v>
      </c>
      <c r="T207" s="10603"/>
      <c r="U207" s="10603"/>
      <c r="V207" s="10603"/>
      <c r="W207" s="10603"/>
      <c r="X207" s="10603"/>
      <c r="Y207" s="10603"/>
      <c r="Z207" s="10603"/>
      <c r="AA207" s="10603"/>
      <c r="AB207" s="10603"/>
      <c r="AC207" s="10612"/>
      <c r="AD207" s="10603">
        <v>0</v>
      </c>
    </row>
    <row s="36475" customFormat="1" customHeight="1" ht="22.5">
      <c r="A208" s="10603"/>
      <c r="B208" s="10604" t="s">
        <v>1037</v>
      </c>
      <c r="C208" s="10605" t="s">
        <v>103</v>
      </c>
      <c r="D208" s="10606" t="str">
        <f>B208&amp;".1"</f>
        <v>3.58.1</v>
      </c>
      <c r="E208" s="10607" t="s">
        <v>963</v>
      </c>
      <c r="F208" s="10608" t="s">
        <v>324</v>
      </c>
      <c r="G208" s="10609" t="s">
        <v>22</v>
      </c>
      <c r="H208" s="10610" t="s">
        <v>22</v>
      </c>
      <c r="I208" s="10609" t="s">
        <v>981</v>
      </c>
      <c r="J208" s="10610" t="s">
        <v>22</v>
      </c>
      <c r="K208" s="10609" t="s">
        <v>22</v>
      </c>
      <c r="L208" s="10610" t="s">
        <v>22</v>
      </c>
      <c r="M208" s="10609" t="s">
        <v>22</v>
      </c>
      <c r="N208" s="10610" t="s">
        <v>22</v>
      </c>
      <c r="O208" s="29692" t="s">
        <v>22</v>
      </c>
      <c r="P208" s="29693" t="s">
        <v>22</v>
      </c>
      <c r="Q208" s="10609" t="s">
        <v>22</v>
      </c>
      <c r="R208" s="10610" t="s">
        <v>22</v>
      </c>
      <c r="S208" s="10611"/>
      <c r="T208" s="10603"/>
      <c r="U208" s="10603"/>
      <c r="V208" s="10603"/>
      <c r="W208" s="10603"/>
      <c r="X208" s="10603"/>
      <c r="Y208" s="10603"/>
      <c r="Z208" s="10603"/>
      <c r="AA208" s="10603"/>
      <c r="AB208" s="10603"/>
      <c r="AC208" s="10612"/>
      <c r="AD208" s="10603">
        <v>0</v>
      </c>
    </row>
    <row s="36476" customFormat="1" customHeight="1" ht="15">
      <c r="A209" s="10603"/>
      <c r="B209" s="10604"/>
      <c r="C209" s="10605"/>
      <c r="D209" s="10606" t="str">
        <f>B208&amp;".2"</f>
        <v>3.58.2</v>
      </c>
      <c r="E209" s="10607" t="s">
        <v>964</v>
      </c>
      <c r="F209" s="10608" t="s">
        <v>324</v>
      </c>
      <c r="G209" s="10582" t="s">
        <v>22</v>
      </c>
      <c r="H209" s="10610" t="s">
        <v>22</v>
      </c>
      <c r="I209" s="19680">
        <v>45397</v>
      </c>
      <c r="J209" s="10610" t="s">
        <v>22</v>
      </c>
      <c r="K209" s="10582" t="s">
        <v>22</v>
      </c>
      <c r="L209" s="10610" t="s">
        <v>22</v>
      </c>
      <c r="M209" s="10582" t="s">
        <v>22</v>
      </c>
      <c r="N209" s="10610" t="s">
        <v>22</v>
      </c>
      <c r="O209" s="29697" t="s">
        <v>22</v>
      </c>
      <c r="P209" s="29693" t="s">
        <v>22</v>
      </c>
      <c r="Q209" s="10582" t="s">
        <v>22</v>
      </c>
      <c r="R209" s="10610" t="s">
        <v>22</v>
      </c>
      <c r="S209" s="10611" t="s">
        <v>965</v>
      </c>
      <c r="T209" s="10603"/>
      <c r="U209" s="10603"/>
      <c r="V209" s="10603"/>
      <c r="W209" s="10603"/>
      <c r="X209" s="10603"/>
      <c r="Y209" s="10603"/>
      <c r="Z209" s="10603"/>
      <c r="AA209" s="10603"/>
      <c r="AB209" s="10603"/>
      <c r="AC209" s="10612"/>
      <c r="AD209" s="10603">
        <v>0</v>
      </c>
    </row>
    <row s="36477" customFormat="1" customHeight="1" ht="15">
      <c r="A210" s="10603"/>
      <c r="B210" s="10604"/>
      <c r="C210" s="10605"/>
      <c r="D210" s="10606" t="str">
        <f>B208&amp;".3"</f>
        <v>3.58.3</v>
      </c>
      <c r="E210" s="10607" t="s">
        <v>966</v>
      </c>
      <c r="F210" s="10608" t="s">
        <v>324</v>
      </c>
      <c r="G210" s="10582" t="s">
        <v>22</v>
      </c>
      <c r="H210" s="10610" t="s">
        <v>22</v>
      </c>
      <c r="I210" s="19680" t="s">
        <v>22</v>
      </c>
      <c r="J210" s="10610" t="s">
        <v>22</v>
      </c>
      <c r="K210" s="10582" t="s">
        <v>22</v>
      </c>
      <c r="L210" s="10610" t="s">
        <v>22</v>
      </c>
      <c r="M210" s="10582" t="s">
        <v>22</v>
      </c>
      <c r="N210" s="10610" t="s">
        <v>22</v>
      </c>
      <c r="O210" s="29697" t="s">
        <v>22</v>
      </c>
      <c r="P210" s="29693" t="s">
        <v>22</v>
      </c>
      <c r="Q210" s="10582" t="s">
        <v>22</v>
      </c>
      <c r="R210" s="10610" t="s">
        <v>22</v>
      </c>
      <c r="S210" s="10611" t="s">
        <v>967</v>
      </c>
      <c r="T210" s="10603"/>
      <c r="U210" s="10603"/>
      <c r="V210" s="10603"/>
      <c r="W210" s="10603"/>
      <c r="X210" s="10603"/>
      <c r="Y210" s="10603"/>
      <c r="Z210" s="10603"/>
      <c r="AA210" s="10603"/>
      <c r="AB210" s="10603"/>
      <c r="AC210" s="10612"/>
      <c r="AD210" s="10603">
        <v>0</v>
      </c>
    </row>
    <row s="36478" customFormat="1" customHeight="1" ht="22.5">
      <c r="A211" s="16759"/>
      <c r="B211" s="16760" t="s">
        <v>1038</v>
      </c>
      <c r="C211" s="16761" t="s">
        <v>103</v>
      </c>
      <c r="D211" s="16762" t="str">
        <f>B211&amp;".1"</f>
        <v>3.59.1</v>
      </c>
      <c r="E211" s="16763" t="s">
        <v>963</v>
      </c>
      <c r="F211" s="16764" t="s">
        <v>324</v>
      </c>
      <c r="G211" s="16765" t="s">
        <v>22</v>
      </c>
      <c r="H211" s="16766" t="s">
        <v>22</v>
      </c>
      <c r="I211" s="16765" t="s">
        <v>981</v>
      </c>
      <c r="J211" s="16766" t="s">
        <v>22</v>
      </c>
      <c r="K211" s="16765" t="s">
        <v>22</v>
      </c>
      <c r="L211" s="16766" t="s">
        <v>22</v>
      </c>
      <c r="M211" s="16765" t="s">
        <v>22</v>
      </c>
      <c r="N211" s="16766" t="s">
        <v>22</v>
      </c>
      <c r="O211" s="29855" t="s">
        <v>22</v>
      </c>
      <c r="P211" s="29856" t="s">
        <v>22</v>
      </c>
      <c r="Q211" s="16765" t="s">
        <v>22</v>
      </c>
      <c r="R211" s="16766" t="s">
        <v>22</v>
      </c>
      <c r="S211" s="16767"/>
      <c r="T211" s="16759"/>
      <c r="U211" s="16759"/>
      <c r="V211" s="16759"/>
      <c r="W211" s="16759"/>
      <c r="X211" s="16759"/>
      <c r="Y211" s="16759"/>
      <c r="Z211" s="16759"/>
      <c r="AA211" s="16759"/>
      <c r="AB211" s="16759"/>
      <c r="AC211" s="16768"/>
      <c r="AD211" s="16759">
        <v>0</v>
      </c>
    </row>
    <row s="36491" customFormat="1" customHeight="1" ht="15">
      <c r="A212" s="16759"/>
      <c r="B212" s="16760"/>
      <c r="C212" s="16761"/>
      <c r="D212" s="16762" t="str">
        <f>B211&amp;".2"</f>
        <v>3.59.2</v>
      </c>
      <c r="E212" s="16763" t="s">
        <v>964</v>
      </c>
      <c r="F212" s="16764" t="s">
        <v>324</v>
      </c>
      <c r="G212" s="16577" t="s">
        <v>22</v>
      </c>
      <c r="H212" s="16766" t="s">
        <v>22</v>
      </c>
      <c r="I212" s="19680">
        <v>45397</v>
      </c>
      <c r="J212" s="16766" t="s">
        <v>22</v>
      </c>
      <c r="K212" s="16577" t="s">
        <v>22</v>
      </c>
      <c r="L212" s="16766" t="s">
        <v>22</v>
      </c>
      <c r="M212" s="16577" t="s">
        <v>22</v>
      </c>
      <c r="N212" s="16766" t="s">
        <v>22</v>
      </c>
      <c r="O212" s="29860" t="s">
        <v>22</v>
      </c>
      <c r="P212" s="29856" t="s">
        <v>22</v>
      </c>
      <c r="Q212" s="16577" t="s">
        <v>22</v>
      </c>
      <c r="R212" s="16766" t="s">
        <v>22</v>
      </c>
      <c r="S212" s="16767" t="s">
        <v>965</v>
      </c>
      <c r="T212" s="16759"/>
      <c r="U212" s="16759"/>
      <c r="V212" s="16759"/>
      <c r="W212" s="16759"/>
      <c r="X212" s="16759"/>
      <c r="Y212" s="16759"/>
      <c r="Z212" s="16759"/>
      <c r="AA212" s="16759"/>
      <c r="AB212" s="16759"/>
      <c r="AC212" s="16768"/>
      <c r="AD212" s="16759">
        <v>0</v>
      </c>
    </row>
    <row s="36493" customFormat="1" customHeight="1" ht="15">
      <c r="A213" s="16759"/>
      <c r="B213" s="16760"/>
      <c r="C213" s="16761"/>
      <c r="D213" s="16762" t="str">
        <f>B211&amp;".3"</f>
        <v>3.59.3</v>
      </c>
      <c r="E213" s="16763" t="s">
        <v>966</v>
      </c>
      <c r="F213" s="16764" t="s">
        <v>324</v>
      </c>
      <c r="G213" s="16577" t="s">
        <v>22</v>
      </c>
      <c r="H213" s="16766" t="s">
        <v>22</v>
      </c>
      <c r="I213" s="19680" t="s">
        <v>22</v>
      </c>
      <c r="J213" s="16766" t="s">
        <v>22</v>
      </c>
      <c r="K213" s="16577" t="s">
        <v>22</v>
      </c>
      <c r="L213" s="16766" t="s">
        <v>22</v>
      </c>
      <c r="M213" s="16577" t="s">
        <v>22</v>
      </c>
      <c r="N213" s="16766" t="s">
        <v>22</v>
      </c>
      <c r="O213" s="29860" t="s">
        <v>22</v>
      </c>
      <c r="P213" s="29856" t="s">
        <v>22</v>
      </c>
      <c r="Q213" s="16577" t="s">
        <v>22</v>
      </c>
      <c r="R213" s="16766" t="s">
        <v>22</v>
      </c>
      <c r="S213" s="16767" t="s">
        <v>967</v>
      </c>
      <c r="T213" s="16759"/>
      <c r="U213" s="16759"/>
      <c r="V213" s="16759"/>
      <c r="W213" s="16759"/>
      <c r="X213" s="16759"/>
      <c r="Y213" s="16759"/>
      <c r="Z213" s="16759"/>
      <c r="AA213" s="16759"/>
      <c r="AB213" s="16759"/>
      <c r="AC213" s="16768"/>
      <c r="AD213" s="16759">
        <v>0</v>
      </c>
    </row>
    <row s="36494" customFormat="1" customHeight="1" ht="22.5">
      <c r="A214" s="16759"/>
      <c r="B214" s="16760" t="s">
        <v>1039</v>
      </c>
      <c r="C214" s="16761" t="s">
        <v>103</v>
      </c>
      <c r="D214" s="16762" t="str">
        <f>B214&amp;".1"</f>
        <v>3.60.1</v>
      </c>
      <c r="E214" s="16763" t="s">
        <v>963</v>
      </c>
      <c r="F214" s="16764" t="s">
        <v>324</v>
      </c>
      <c r="G214" s="16765" t="s">
        <v>22</v>
      </c>
      <c r="H214" s="16766" t="s">
        <v>22</v>
      </c>
      <c r="I214" s="16765" t="s">
        <v>981</v>
      </c>
      <c r="J214" s="16766" t="s">
        <v>22</v>
      </c>
      <c r="K214" s="16765" t="s">
        <v>22</v>
      </c>
      <c r="L214" s="16766" t="s">
        <v>22</v>
      </c>
      <c r="M214" s="16765" t="s">
        <v>22</v>
      </c>
      <c r="N214" s="16766" t="s">
        <v>22</v>
      </c>
      <c r="O214" s="29855" t="s">
        <v>22</v>
      </c>
      <c r="P214" s="29856" t="s">
        <v>22</v>
      </c>
      <c r="Q214" s="16765" t="s">
        <v>22</v>
      </c>
      <c r="R214" s="16766" t="s">
        <v>22</v>
      </c>
      <c r="S214" s="16767"/>
      <c r="T214" s="16759"/>
      <c r="U214" s="16759"/>
      <c r="V214" s="16759"/>
      <c r="W214" s="16759"/>
      <c r="X214" s="16759"/>
      <c r="Y214" s="16759"/>
      <c r="Z214" s="16759"/>
      <c r="AA214" s="16759"/>
      <c r="AB214" s="16759"/>
      <c r="AC214" s="16768"/>
      <c r="AD214" s="16759">
        <v>0</v>
      </c>
    </row>
    <row s="36495" customFormat="1" customHeight="1" ht="15">
      <c r="A215" s="16759"/>
      <c r="B215" s="16760"/>
      <c r="C215" s="16761"/>
      <c r="D215" s="16762" t="str">
        <f>B214&amp;".2"</f>
        <v>3.60.2</v>
      </c>
      <c r="E215" s="16763" t="s">
        <v>964</v>
      </c>
      <c r="F215" s="16764" t="s">
        <v>324</v>
      </c>
      <c r="G215" s="16577" t="s">
        <v>22</v>
      </c>
      <c r="H215" s="16766" t="s">
        <v>22</v>
      </c>
      <c r="I215" s="19680">
        <v>45397</v>
      </c>
      <c r="J215" s="16766" t="s">
        <v>22</v>
      </c>
      <c r="K215" s="16577" t="s">
        <v>22</v>
      </c>
      <c r="L215" s="16766" t="s">
        <v>22</v>
      </c>
      <c r="M215" s="16577" t="s">
        <v>22</v>
      </c>
      <c r="N215" s="16766" t="s">
        <v>22</v>
      </c>
      <c r="O215" s="29860" t="s">
        <v>22</v>
      </c>
      <c r="P215" s="29856" t="s">
        <v>22</v>
      </c>
      <c r="Q215" s="16577" t="s">
        <v>22</v>
      </c>
      <c r="R215" s="16766" t="s">
        <v>22</v>
      </c>
      <c r="S215" s="16767" t="s">
        <v>965</v>
      </c>
      <c r="T215" s="16759"/>
      <c r="U215" s="16759"/>
      <c r="V215" s="16759"/>
      <c r="W215" s="16759"/>
      <c r="X215" s="16759"/>
      <c r="Y215" s="16759"/>
      <c r="Z215" s="16759"/>
      <c r="AA215" s="16759"/>
      <c r="AB215" s="16759"/>
      <c r="AC215" s="16768"/>
      <c r="AD215" s="16759">
        <v>0</v>
      </c>
    </row>
    <row s="36496" customFormat="1" customHeight="1" ht="15">
      <c r="A216" s="16759"/>
      <c r="B216" s="16760"/>
      <c r="C216" s="16761"/>
      <c r="D216" s="16762" t="str">
        <f>B214&amp;".3"</f>
        <v>3.60.3</v>
      </c>
      <c r="E216" s="16763" t="s">
        <v>966</v>
      </c>
      <c r="F216" s="16764" t="s">
        <v>324</v>
      </c>
      <c r="G216" s="16577" t="s">
        <v>22</v>
      </c>
      <c r="H216" s="16766" t="s">
        <v>22</v>
      </c>
      <c r="I216" s="19680" t="s">
        <v>22</v>
      </c>
      <c r="J216" s="16766" t="s">
        <v>22</v>
      </c>
      <c r="K216" s="16577" t="s">
        <v>22</v>
      </c>
      <c r="L216" s="16766" t="s">
        <v>22</v>
      </c>
      <c r="M216" s="16577" t="s">
        <v>22</v>
      </c>
      <c r="N216" s="16766" t="s">
        <v>22</v>
      </c>
      <c r="O216" s="29860" t="s">
        <v>22</v>
      </c>
      <c r="P216" s="29856" t="s">
        <v>22</v>
      </c>
      <c r="Q216" s="16577" t="s">
        <v>22</v>
      </c>
      <c r="R216" s="16766" t="s">
        <v>22</v>
      </c>
      <c r="S216" s="16767" t="s">
        <v>967</v>
      </c>
      <c r="T216" s="16759"/>
      <c r="U216" s="16759"/>
      <c r="V216" s="16759"/>
      <c r="W216" s="16759"/>
      <c r="X216" s="16759"/>
      <c r="Y216" s="16759"/>
      <c r="Z216" s="16759"/>
      <c r="AA216" s="16759"/>
      <c r="AB216" s="16759"/>
      <c r="AC216" s="16768"/>
      <c r="AD216" s="16759">
        <v>0</v>
      </c>
    </row>
    <row s="36497" customFormat="1" customHeight="1" ht="22.5">
      <c r="A217" s="16759"/>
      <c r="B217" s="16760" t="s">
        <v>1040</v>
      </c>
      <c r="C217" s="16761" t="s">
        <v>103</v>
      </c>
      <c r="D217" s="16762" t="str">
        <f>B217&amp;".1"</f>
        <v>3.61.1</v>
      </c>
      <c r="E217" s="16763" t="s">
        <v>963</v>
      </c>
      <c r="F217" s="16764" t="s">
        <v>324</v>
      </c>
      <c r="G217" s="16765" t="s">
        <v>22</v>
      </c>
      <c r="H217" s="16766" t="s">
        <v>22</v>
      </c>
      <c r="I217" s="16765" t="s">
        <v>981</v>
      </c>
      <c r="J217" s="16766" t="s">
        <v>22</v>
      </c>
      <c r="K217" s="16765" t="s">
        <v>22</v>
      </c>
      <c r="L217" s="16766" t="s">
        <v>22</v>
      </c>
      <c r="M217" s="16765" t="s">
        <v>22</v>
      </c>
      <c r="N217" s="16766" t="s">
        <v>22</v>
      </c>
      <c r="O217" s="29855" t="s">
        <v>22</v>
      </c>
      <c r="P217" s="29856" t="s">
        <v>22</v>
      </c>
      <c r="Q217" s="16765" t="s">
        <v>22</v>
      </c>
      <c r="R217" s="16766" t="s">
        <v>22</v>
      </c>
      <c r="S217" s="16767"/>
      <c r="T217" s="16759"/>
      <c r="U217" s="16759"/>
      <c r="V217" s="16759"/>
      <c r="W217" s="16759"/>
      <c r="X217" s="16759"/>
      <c r="Y217" s="16759"/>
      <c r="Z217" s="16759"/>
      <c r="AA217" s="16759"/>
      <c r="AB217" s="16759"/>
      <c r="AC217" s="16768"/>
      <c r="AD217" s="16759">
        <v>0</v>
      </c>
    </row>
    <row s="36498" customFormat="1" customHeight="1" ht="15">
      <c r="A218" s="16759"/>
      <c r="B218" s="16760"/>
      <c r="C218" s="16761"/>
      <c r="D218" s="16762" t="str">
        <f>B217&amp;".2"</f>
        <v>3.61.2</v>
      </c>
      <c r="E218" s="16763" t="s">
        <v>964</v>
      </c>
      <c r="F218" s="16764" t="s">
        <v>324</v>
      </c>
      <c r="G218" s="16577" t="s">
        <v>22</v>
      </c>
      <c r="H218" s="16766" t="s">
        <v>22</v>
      </c>
      <c r="I218" s="19680">
        <v>45397</v>
      </c>
      <c r="J218" s="16766" t="s">
        <v>22</v>
      </c>
      <c r="K218" s="16577" t="s">
        <v>22</v>
      </c>
      <c r="L218" s="16766" t="s">
        <v>22</v>
      </c>
      <c r="M218" s="16577" t="s">
        <v>22</v>
      </c>
      <c r="N218" s="16766" t="s">
        <v>22</v>
      </c>
      <c r="O218" s="29860" t="s">
        <v>22</v>
      </c>
      <c r="P218" s="29856" t="s">
        <v>22</v>
      </c>
      <c r="Q218" s="16577" t="s">
        <v>22</v>
      </c>
      <c r="R218" s="16766" t="s">
        <v>22</v>
      </c>
      <c r="S218" s="16767" t="s">
        <v>965</v>
      </c>
      <c r="T218" s="16759"/>
      <c r="U218" s="16759"/>
      <c r="V218" s="16759"/>
      <c r="W218" s="16759"/>
      <c r="X218" s="16759"/>
      <c r="Y218" s="16759"/>
      <c r="Z218" s="16759"/>
      <c r="AA218" s="16759"/>
      <c r="AB218" s="16759"/>
      <c r="AC218" s="16768"/>
      <c r="AD218" s="16759">
        <v>0</v>
      </c>
    </row>
    <row s="36499" customFormat="1" customHeight="1" ht="15">
      <c r="A219" s="16759"/>
      <c r="B219" s="16760"/>
      <c r="C219" s="16761"/>
      <c r="D219" s="16762" t="str">
        <f>B217&amp;".3"</f>
        <v>3.61.3</v>
      </c>
      <c r="E219" s="16763" t="s">
        <v>966</v>
      </c>
      <c r="F219" s="16764" t="s">
        <v>324</v>
      </c>
      <c r="G219" s="16577" t="s">
        <v>22</v>
      </c>
      <c r="H219" s="16766" t="s">
        <v>22</v>
      </c>
      <c r="I219" s="19680" t="s">
        <v>22</v>
      </c>
      <c r="J219" s="16766" t="s">
        <v>22</v>
      </c>
      <c r="K219" s="16577" t="s">
        <v>22</v>
      </c>
      <c r="L219" s="16766" t="s">
        <v>22</v>
      </c>
      <c r="M219" s="16577" t="s">
        <v>22</v>
      </c>
      <c r="N219" s="16766" t="s">
        <v>22</v>
      </c>
      <c r="O219" s="29860" t="s">
        <v>22</v>
      </c>
      <c r="P219" s="29856" t="s">
        <v>22</v>
      </c>
      <c r="Q219" s="16577" t="s">
        <v>22</v>
      </c>
      <c r="R219" s="16766" t="s">
        <v>22</v>
      </c>
      <c r="S219" s="16767" t="s">
        <v>967</v>
      </c>
      <c r="T219" s="16759"/>
      <c r="U219" s="16759"/>
      <c r="V219" s="16759"/>
      <c r="W219" s="16759"/>
      <c r="X219" s="16759"/>
      <c r="Y219" s="16759"/>
      <c r="Z219" s="16759"/>
      <c r="AA219" s="16759"/>
      <c r="AB219" s="16759"/>
      <c r="AC219" s="16768"/>
      <c r="AD219" s="16759">
        <v>0</v>
      </c>
    </row>
    <row s="36500" customFormat="1" customHeight="1" ht="22.5">
      <c r="A220" s="16759"/>
      <c r="B220" s="16760" t="s">
        <v>1041</v>
      </c>
      <c r="C220" s="16761" t="s">
        <v>103</v>
      </c>
      <c r="D220" s="16762" t="str">
        <f>B220&amp;".1"</f>
        <v>3.62.1</v>
      </c>
      <c r="E220" s="16763" t="s">
        <v>963</v>
      </c>
      <c r="F220" s="16764" t="s">
        <v>324</v>
      </c>
      <c r="G220" s="16765" t="s">
        <v>22</v>
      </c>
      <c r="H220" s="16766" t="s">
        <v>22</v>
      </c>
      <c r="I220" s="16765" t="s">
        <v>981</v>
      </c>
      <c r="J220" s="16766" t="s">
        <v>22</v>
      </c>
      <c r="K220" s="16765" t="s">
        <v>22</v>
      </c>
      <c r="L220" s="16766" t="s">
        <v>22</v>
      </c>
      <c r="M220" s="16765" t="s">
        <v>22</v>
      </c>
      <c r="N220" s="16766" t="s">
        <v>22</v>
      </c>
      <c r="O220" s="29855" t="s">
        <v>22</v>
      </c>
      <c r="P220" s="29856" t="s">
        <v>22</v>
      </c>
      <c r="Q220" s="16765" t="s">
        <v>22</v>
      </c>
      <c r="R220" s="16766" t="s">
        <v>22</v>
      </c>
      <c r="S220" s="16767"/>
      <c r="T220" s="16759"/>
      <c r="U220" s="16759"/>
      <c r="V220" s="16759"/>
      <c r="W220" s="16759"/>
      <c r="X220" s="16759"/>
      <c r="Y220" s="16759"/>
      <c r="Z220" s="16759"/>
      <c r="AA220" s="16759"/>
      <c r="AB220" s="16759"/>
      <c r="AC220" s="16768"/>
      <c r="AD220" s="16759">
        <v>0</v>
      </c>
    </row>
    <row s="36501" customFormat="1" customHeight="1" ht="15">
      <c r="A221" s="16759"/>
      <c r="B221" s="16760"/>
      <c r="C221" s="16761"/>
      <c r="D221" s="16762" t="str">
        <f>B220&amp;".2"</f>
        <v>3.62.2</v>
      </c>
      <c r="E221" s="16763" t="s">
        <v>964</v>
      </c>
      <c r="F221" s="16764" t="s">
        <v>324</v>
      </c>
      <c r="G221" s="16577" t="s">
        <v>22</v>
      </c>
      <c r="H221" s="16766" t="s">
        <v>22</v>
      </c>
      <c r="I221" s="19680">
        <v>45397</v>
      </c>
      <c r="J221" s="16766" t="s">
        <v>22</v>
      </c>
      <c r="K221" s="16577" t="s">
        <v>22</v>
      </c>
      <c r="L221" s="16766" t="s">
        <v>22</v>
      </c>
      <c r="M221" s="16577" t="s">
        <v>22</v>
      </c>
      <c r="N221" s="16766" t="s">
        <v>22</v>
      </c>
      <c r="O221" s="29860" t="s">
        <v>22</v>
      </c>
      <c r="P221" s="29856" t="s">
        <v>22</v>
      </c>
      <c r="Q221" s="16577" t="s">
        <v>22</v>
      </c>
      <c r="R221" s="16766" t="s">
        <v>22</v>
      </c>
      <c r="S221" s="16767" t="s">
        <v>965</v>
      </c>
      <c r="T221" s="16759"/>
      <c r="U221" s="16759"/>
      <c r="V221" s="16759"/>
      <c r="W221" s="16759"/>
      <c r="X221" s="16759"/>
      <c r="Y221" s="16759"/>
      <c r="Z221" s="16759"/>
      <c r="AA221" s="16759"/>
      <c r="AB221" s="16759"/>
      <c r="AC221" s="16768"/>
      <c r="AD221" s="16759">
        <v>0</v>
      </c>
    </row>
    <row s="36502" customFormat="1" customHeight="1" ht="15">
      <c r="A222" s="16759"/>
      <c r="B222" s="16760"/>
      <c r="C222" s="16761"/>
      <c r="D222" s="16762" t="str">
        <f>B220&amp;".3"</f>
        <v>3.62.3</v>
      </c>
      <c r="E222" s="16763" t="s">
        <v>966</v>
      </c>
      <c r="F222" s="16764" t="s">
        <v>324</v>
      </c>
      <c r="G222" s="16577" t="s">
        <v>22</v>
      </c>
      <c r="H222" s="16766" t="s">
        <v>22</v>
      </c>
      <c r="I222" s="19680" t="s">
        <v>22</v>
      </c>
      <c r="J222" s="16766" t="s">
        <v>22</v>
      </c>
      <c r="K222" s="16577" t="s">
        <v>22</v>
      </c>
      <c r="L222" s="16766" t="s">
        <v>22</v>
      </c>
      <c r="M222" s="16577" t="s">
        <v>22</v>
      </c>
      <c r="N222" s="16766" t="s">
        <v>22</v>
      </c>
      <c r="O222" s="29860" t="s">
        <v>22</v>
      </c>
      <c r="P222" s="29856" t="s">
        <v>22</v>
      </c>
      <c r="Q222" s="16577" t="s">
        <v>22</v>
      </c>
      <c r="R222" s="16766" t="s">
        <v>22</v>
      </c>
      <c r="S222" s="16767" t="s">
        <v>967</v>
      </c>
      <c r="T222" s="16759"/>
      <c r="U222" s="16759"/>
      <c r="V222" s="16759"/>
      <c r="W222" s="16759"/>
      <c r="X222" s="16759"/>
      <c r="Y222" s="16759"/>
      <c r="Z222" s="16759"/>
      <c r="AA222" s="16759"/>
      <c r="AB222" s="16759"/>
      <c r="AC222" s="16768"/>
      <c r="AD222" s="16759">
        <v>0</v>
      </c>
    </row>
    <row s="36503" customFormat="1" customHeight="1" ht="22.5">
      <c r="A223" s="16759"/>
      <c r="B223" s="16760" t="s">
        <v>1042</v>
      </c>
      <c r="C223" s="16761" t="s">
        <v>103</v>
      </c>
      <c r="D223" s="16762" t="str">
        <f>B223&amp;".1"</f>
        <v>3.63.1</v>
      </c>
      <c r="E223" s="16763" t="s">
        <v>963</v>
      </c>
      <c r="F223" s="16764" t="s">
        <v>324</v>
      </c>
      <c r="G223" s="16765" t="s">
        <v>22</v>
      </c>
      <c r="H223" s="16766" t="s">
        <v>22</v>
      </c>
      <c r="I223" s="16765" t="s">
        <v>981</v>
      </c>
      <c r="J223" s="16766" t="s">
        <v>22</v>
      </c>
      <c r="K223" s="16765" t="s">
        <v>22</v>
      </c>
      <c r="L223" s="16766" t="s">
        <v>22</v>
      </c>
      <c r="M223" s="16765" t="s">
        <v>22</v>
      </c>
      <c r="N223" s="16766" t="s">
        <v>22</v>
      </c>
      <c r="O223" s="29855" t="s">
        <v>22</v>
      </c>
      <c r="P223" s="29856" t="s">
        <v>22</v>
      </c>
      <c r="Q223" s="16765" t="s">
        <v>22</v>
      </c>
      <c r="R223" s="16766" t="s">
        <v>22</v>
      </c>
      <c r="S223" s="16767"/>
      <c r="T223" s="16759"/>
      <c r="U223" s="16759"/>
      <c r="V223" s="16759"/>
      <c r="W223" s="16759"/>
      <c r="X223" s="16759"/>
      <c r="Y223" s="16759"/>
      <c r="Z223" s="16759"/>
      <c r="AA223" s="16759"/>
      <c r="AB223" s="16759"/>
      <c r="AC223" s="16768"/>
      <c r="AD223" s="16759">
        <v>0</v>
      </c>
    </row>
    <row s="36504" customFormat="1" customHeight="1" ht="15">
      <c r="A224" s="16759"/>
      <c r="B224" s="16760"/>
      <c r="C224" s="16761"/>
      <c r="D224" s="16762" t="str">
        <f>B223&amp;".2"</f>
        <v>3.63.2</v>
      </c>
      <c r="E224" s="16763" t="s">
        <v>964</v>
      </c>
      <c r="F224" s="16764" t="s">
        <v>324</v>
      </c>
      <c r="G224" s="16577" t="s">
        <v>22</v>
      </c>
      <c r="H224" s="16766" t="s">
        <v>22</v>
      </c>
      <c r="I224" s="19680">
        <v>45397</v>
      </c>
      <c r="J224" s="16766" t="s">
        <v>22</v>
      </c>
      <c r="K224" s="16577" t="s">
        <v>22</v>
      </c>
      <c r="L224" s="16766" t="s">
        <v>22</v>
      </c>
      <c r="M224" s="16577" t="s">
        <v>22</v>
      </c>
      <c r="N224" s="16766" t="s">
        <v>22</v>
      </c>
      <c r="O224" s="29860" t="s">
        <v>22</v>
      </c>
      <c r="P224" s="29856" t="s">
        <v>22</v>
      </c>
      <c r="Q224" s="16577" t="s">
        <v>22</v>
      </c>
      <c r="R224" s="16766" t="s">
        <v>22</v>
      </c>
      <c r="S224" s="16767" t="s">
        <v>965</v>
      </c>
      <c r="T224" s="16759"/>
      <c r="U224" s="16759"/>
      <c r="V224" s="16759"/>
      <c r="W224" s="16759"/>
      <c r="X224" s="16759"/>
      <c r="Y224" s="16759"/>
      <c r="Z224" s="16759"/>
      <c r="AA224" s="16759"/>
      <c r="AB224" s="16759"/>
      <c r="AC224" s="16768"/>
      <c r="AD224" s="16759">
        <v>0</v>
      </c>
    </row>
    <row s="36505" customFormat="1" customHeight="1" ht="15">
      <c r="A225" s="16759"/>
      <c r="B225" s="16760"/>
      <c r="C225" s="16761"/>
      <c r="D225" s="16762" t="str">
        <f>B223&amp;".3"</f>
        <v>3.63.3</v>
      </c>
      <c r="E225" s="16763" t="s">
        <v>966</v>
      </c>
      <c r="F225" s="16764" t="s">
        <v>324</v>
      </c>
      <c r="G225" s="16577" t="s">
        <v>22</v>
      </c>
      <c r="H225" s="16766" t="s">
        <v>22</v>
      </c>
      <c r="I225" s="19680" t="s">
        <v>22</v>
      </c>
      <c r="J225" s="16766" t="s">
        <v>22</v>
      </c>
      <c r="K225" s="16577" t="s">
        <v>22</v>
      </c>
      <c r="L225" s="16766" t="s">
        <v>22</v>
      </c>
      <c r="M225" s="16577" t="s">
        <v>22</v>
      </c>
      <c r="N225" s="16766" t="s">
        <v>22</v>
      </c>
      <c r="O225" s="29860" t="s">
        <v>22</v>
      </c>
      <c r="P225" s="29856" t="s">
        <v>22</v>
      </c>
      <c r="Q225" s="16577" t="s">
        <v>22</v>
      </c>
      <c r="R225" s="16766" t="s">
        <v>22</v>
      </c>
      <c r="S225" s="16767" t="s">
        <v>967</v>
      </c>
      <c r="T225" s="16759"/>
      <c r="U225" s="16759"/>
      <c r="V225" s="16759"/>
      <c r="W225" s="16759"/>
      <c r="X225" s="16759"/>
      <c r="Y225" s="16759"/>
      <c r="Z225" s="16759"/>
      <c r="AA225" s="16759"/>
      <c r="AB225" s="16759"/>
      <c r="AC225" s="16768"/>
      <c r="AD225" s="16759">
        <v>0</v>
      </c>
    </row>
    <row s="36506" customFormat="1" customHeight="1" ht="22.5">
      <c r="A226" s="16759"/>
      <c r="B226" s="16760" t="s">
        <v>1043</v>
      </c>
      <c r="C226" s="16761" t="s">
        <v>103</v>
      </c>
      <c r="D226" s="16762" t="str">
        <f>B226&amp;".1"</f>
        <v>3.64.1</v>
      </c>
      <c r="E226" s="16763" t="s">
        <v>963</v>
      </c>
      <c r="F226" s="16764" t="s">
        <v>324</v>
      </c>
      <c r="G226" s="16765" t="s">
        <v>22</v>
      </c>
      <c r="H226" s="16766" t="s">
        <v>22</v>
      </c>
      <c r="I226" s="16765" t="s">
        <v>981</v>
      </c>
      <c r="J226" s="16766" t="s">
        <v>22</v>
      </c>
      <c r="K226" s="16765" t="s">
        <v>22</v>
      </c>
      <c r="L226" s="16766" t="s">
        <v>22</v>
      </c>
      <c r="M226" s="16765" t="s">
        <v>22</v>
      </c>
      <c r="N226" s="16766" t="s">
        <v>22</v>
      </c>
      <c r="O226" s="29855" t="s">
        <v>22</v>
      </c>
      <c r="P226" s="29856" t="s">
        <v>22</v>
      </c>
      <c r="Q226" s="16765" t="s">
        <v>22</v>
      </c>
      <c r="R226" s="16766" t="s">
        <v>22</v>
      </c>
      <c r="S226" s="16767"/>
      <c r="T226" s="16759"/>
      <c r="U226" s="16759"/>
      <c r="V226" s="16759"/>
      <c r="W226" s="16759"/>
      <c r="X226" s="16759"/>
      <c r="Y226" s="16759"/>
      <c r="Z226" s="16759"/>
      <c r="AA226" s="16759"/>
      <c r="AB226" s="16759"/>
      <c r="AC226" s="16768"/>
      <c r="AD226" s="16759">
        <v>0</v>
      </c>
    </row>
    <row s="36507" customFormat="1" customHeight="1" ht="15">
      <c r="A227" s="16759"/>
      <c r="B227" s="16760"/>
      <c r="C227" s="16761"/>
      <c r="D227" s="16762" t="str">
        <f>B226&amp;".2"</f>
        <v>3.64.2</v>
      </c>
      <c r="E227" s="16763" t="s">
        <v>964</v>
      </c>
      <c r="F227" s="16764" t="s">
        <v>324</v>
      </c>
      <c r="G227" s="16577" t="s">
        <v>22</v>
      </c>
      <c r="H227" s="16766" t="s">
        <v>22</v>
      </c>
      <c r="I227" s="19680">
        <v>45397</v>
      </c>
      <c r="J227" s="16766" t="s">
        <v>22</v>
      </c>
      <c r="K227" s="16577" t="s">
        <v>22</v>
      </c>
      <c r="L227" s="16766" t="s">
        <v>22</v>
      </c>
      <c r="M227" s="16577" t="s">
        <v>22</v>
      </c>
      <c r="N227" s="16766" t="s">
        <v>22</v>
      </c>
      <c r="O227" s="29860" t="s">
        <v>22</v>
      </c>
      <c r="P227" s="29856" t="s">
        <v>22</v>
      </c>
      <c r="Q227" s="16577" t="s">
        <v>22</v>
      </c>
      <c r="R227" s="16766" t="s">
        <v>22</v>
      </c>
      <c r="S227" s="16767" t="s">
        <v>965</v>
      </c>
      <c r="T227" s="16759"/>
      <c r="U227" s="16759"/>
      <c r="V227" s="16759"/>
      <c r="W227" s="16759"/>
      <c r="X227" s="16759"/>
      <c r="Y227" s="16759"/>
      <c r="Z227" s="16759"/>
      <c r="AA227" s="16759"/>
      <c r="AB227" s="16759"/>
      <c r="AC227" s="16768"/>
      <c r="AD227" s="16759">
        <v>0</v>
      </c>
    </row>
    <row s="36508" customFormat="1" customHeight="1" ht="15">
      <c r="A228" s="16759"/>
      <c r="B228" s="16760"/>
      <c r="C228" s="16761"/>
      <c r="D228" s="16762" t="str">
        <f>B226&amp;".3"</f>
        <v>3.64.3</v>
      </c>
      <c r="E228" s="16763" t="s">
        <v>966</v>
      </c>
      <c r="F228" s="16764" t="s">
        <v>324</v>
      </c>
      <c r="G228" s="16577" t="s">
        <v>22</v>
      </c>
      <c r="H228" s="16766" t="s">
        <v>22</v>
      </c>
      <c r="I228" s="19680" t="s">
        <v>22</v>
      </c>
      <c r="J228" s="16766" t="s">
        <v>22</v>
      </c>
      <c r="K228" s="16577" t="s">
        <v>22</v>
      </c>
      <c r="L228" s="16766" t="s">
        <v>22</v>
      </c>
      <c r="M228" s="16577" t="s">
        <v>22</v>
      </c>
      <c r="N228" s="16766" t="s">
        <v>22</v>
      </c>
      <c r="O228" s="29860" t="s">
        <v>22</v>
      </c>
      <c r="P228" s="29856" t="s">
        <v>22</v>
      </c>
      <c r="Q228" s="16577" t="s">
        <v>22</v>
      </c>
      <c r="R228" s="16766" t="s">
        <v>22</v>
      </c>
      <c r="S228" s="16767" t="s">
        <v>967</v>
      </c>
      <c r="T228" s="16759"/>
      <c r="U228" s="16759"/>
      <c r="V228" s="16759"/>
      <c r="W228" s="16759"/>
      <c r="X228" s="16759"/>
      <c r="Y228" s="16759"/>
      <c r="Z228" s="16759"/>
      <c r="AA228" s="16759"/>
      <c r="AB228" s="16759"/>
      <c r="AC228" s="16768"/>
      <c r="AD228" s="16759">
        <v>0</v>
      </c>
    </row>
    <row s="36509" customFormat="1" customHeight="1" ht="22.5">
      <c r="A229" s="16759"/>
      <c r="B229" s="16760" t="s">
        <v>1044</v>
      </c>
      <c r="C229" s="16761" t="s">
        <v>103</v>
      </c>
      <c r="D229" s="16762" t="str">
        <f>B229&amp;".1"</f>
        <v>3.65.1</v>
      </c>
      <c r="E229" s="16763" t="s">
        <v>963</v>
      </c>
      <c r="F229" s="16764" t="s">
        <v>324</v>
      </c>
      <c r="G229" s="16765" t="s">
        <v>22</v>
      </c>
      <c r="H229" s="16766" t="s">
        <v>22</v>
      </c>
      <c r="I229" s="16765" t="s">
        <v>981</v>
      </c>
      <c r="J229" s="16766" t="s">
        <v>22</v>
      </c>
      <c r="K229" s="16765" t="s">
        <v>22</v>
      </c>
      <c r="L229" s="16766" t="s">
        <v>22</v>
      </c>
      <c r="M229" s="16765" t="s">
        <v>22</v>
      </c>
      <c r="N229" s="16766" t="s">
        <v>22</v>
      </c>
      <c r="O229" s="29855" t="s">
        <v>22</v>
      </c>
      <c r="P229" s="29856" t="s">
        <v>22</v>
      </c>
      <c r="Q229" s="16765" t="s">
        <v>22</v>
      </c>
      <c r="R229" s="16766" t="s">
        <v>22</v>
      </c>
      <c r="S229" s="16767"/>
      <c r="T229" s="16759"/>
      <c r="U229" s="16759"/>
      <c r="V229" s="16759"/>
      <c r="W229" s="16759"/>
      <c r="X229" s="16759"/>
      <c r="Y229" s="16759"/>
      <c r="Z229" s="16759"/>
      <c r="AA229" s="16759"/>
      <c r="AB229" s="16759"/>
      <c r="AC229" s="16768"/>
      <c r="AD229" s="16759">
        <v>0</v>
      </c>
    </row>
    <row s="36510" customFormat="1" customHeight="1" ht="15">
      <c r="A230" s="16759"/>
      <c r="B230" s="16760"/>
      <c r="C230" s="16761"/>
      <c r="D230" s="16762" t="str">
        <f>B229&amp;".2"</f>
        <v>3.65.2</v>
      </c>
      <c r="E230" s="16763" t="s">
        <v>964</v>
      </c>
      <c r="F230" s="16764" t="s">
        <v>324</v>
      </c>
      <c r="G230" s="16577" t="s">
        <v>22</v>
      </c>
      <c r="H230" s="16766" t="s">
        <v>22</v>
      </c>
      <c r="I230" s="19680">
        <v>45397</v>
      </c>
      <c r="J230" s="16766" t="s">
        <v>22</v>
      </c>
      <c r="K230" s="16577" t="s">
        <v>22</v>
      </c>
      <c r="L230" s="16766" t="s">
        <v>22</v>
      </c>
      <c r="M230" s="16577" t="s">
        <v>22</v>
      </c>
      <c r="N230" s="16766" t="s">
        <v>22</v>
      </c>
      <c r="O230" s="29860" t="s">
        <v>22</v>
      </c>
      <c r="P230" s="29856" t="s">
        <v>22</v>
      </c>
      <c r="Q230" s="16577" t="s">
        <v>22</v>
      </c>
      <c r="R230" s="16766" t="s">
        <v>22</v>
      </c>
      <c r="S230" s="16767" t="s">
        <v>965</v>
      </c>
      <c r="T230" s="16759"/>
      <c r="U230" s="16759"/>
      <c r="V230" s="16759"/>
      <c r="W230" s="16759"/>
      <c r="X230" s="16759"/>
      <c r="Y230" s="16759"/>
      <c r="Z230" s="16759"/>
      <c r="AA230" s="16759"/>
      <c r="AB230" s="16759"/>
      <c r="AC230" s="16768"/>
      <c r="AD230" s="16759">
        <v>0</v>
      </c>
    </row>
    <row s="36511" customFormat="1" customHeight="1" ht="15">
      <c r="A231" s="16759"/>
      <c r="B231" s="16760"/>
      <c r="C231" s="16761"/>
      <c r="D231" s="16762" t="str">
        <f>B229&amp;".3"</f>
        <v>3.65.3</v>
      </c>
      <c r="E231" s="16763" t="s">
        <v>966</v>
      </c>
      <c r="F231" s="16764" t="s">
        <v>324</v>
      </c>
      <c r="G231" s="16577" t="s">
        <v>22</v>
      </c>
      <c r="H231" s="16766" t="s">
        <v>22</v>
      </c>
      <c r="I231" s="19680" t="s">
        <v>22</v>
      </c>
      <c r="J231" s="16766" t="s">
        <v>22</v>
      </c>
      <c r="K231" s="16577" t="s">
        <v>22</v>
      </c>
      <c r="L231" s="16766" t="s">
        <v>22</v>
      </c>
      <c r="M231" s="16577" t="s">
        <v>22</v>
      </c>
      <c r="N231" s="16766" t="s">
        <v>22</v>
      </c>
      <c r="O231" s="29860" t="s">
        <v>22</v>
      </c>
      <c r="P231" s="29856" t="s">
        <v>22</v>
      </c>
      <c r="Q231" s="16577" t="s">
        <v>22</v>
      </c>
      <c r="R231" s="16766" t="s">
        <v>22</v>
      </c>
      <c r="S231" s="16767" t="s">
        <v>967</v>
      </c>
      <c r="T231" s="16759"/>
      <c r="U231" s="16759"/>
      <c r="V231" s="16759"/>
      <c r="W231" s="16759"/>
      <c r="X231" s="16759"/>
      <c r="Y231" s="16759"/>
      <c r="Z231" s="16759"/>
      <c r="AA231" s="16759"/>
      <c r="AB231" s="16759"/>
      <c r="AC231" s="16768"/>
      <c r="AD231" s="16759">
        <v>0</v>
      </c>
    </row>
    <row s="36512" customFormat="1" customHeight="1" ht="22.5">
      <c r="A232" s="16759"/>
      <c r="B232" s="16760" t="s">
        <v>1045</v>
      </c>
      <c r="C232" s="16761" t="s">
        <v>103</v>
      </c>
      <c r="D232" s="16762" t="str">
        <f>B232&amp;".1"</f>
        <v>3.66.1</v>
      </c>
      <c r="E232" s="16763" t="s">
        <v>963</v>
      </c>
      <c r="F232" s="16764" t="s">
        <v>324</v>
      </c>
      <c r="G232" s="16765" t="s">
        <v>22</v>
      </c>
      <c r="H232" s="16766" t="s">
        <v>22</v>
      </c>
      <c r="I232" s="16765" t="s">
        <v>981</v>
      </c>
      <c r="J232" s="16766" t="s">
        <v>22</v>
      </c>
      <c r="K232" s="16765" t="s">
        <v>22</v>
      </c>
      <c r="L232" s="16766" t="s">
        <v>22</v>
      </c>
      <c r="M232" s="16765" t="s">
        <v>22</v>
      </c>
      <c r="N232" s="16766" t="s">
        <v>22</v>
      </c>
      <c r="O232" s="29855" t="s">
        <v>22</v>
      </c>
      <c r="P232" s="29856" t="s">
        <v>22</v>
      </c>
      <c r="Q232" s="16765" t="s">
        <v>22</v>
      </c>
      <c r="R232" s="16766" t="s">
        <v>22</v>
      </c>
      <c r="S232" s="16767"/>
      <c r="T232" s="16759"/>
      <c r="U232" s="16759"/>
      <c r="V232" s="16759"/>
      <c r="W232" s="16759"/>
      <c r="X232" s="16759"/>
      <c r="Y232" s="16759"/>
      <c r="Z232" s="16759"/>
      <c r="AA232" s="16759"/>
      <c r="AB232" s="16759"/>
      <c r="AC232" s="16768"/>
      <c r="AD232" s="16759">
        <v>0</v>
      </c>
    </row>
    <row s="36513" customFormat="1" customHeight="1" ht="15">
      <c r="A233" s="16759"/>
      <c r="B233" s="16760"/>
      <c r="C233" s="16761"/>
      <c r="D233" s="16762" t="str">
        <f>B232&amp;".2"</f>
        <v>3.66.2</v>
      </c>
      <c r="E233" s="16763" t="s">
        <v>964</v>
      </c>
      <c r="F233" s="16764" t="s">
        <v>324</v>
      </c>
      <c r="G233" s="16577" t="s">
        <v>22</v>
      </c>
      <c r="H233" s="16766" t="s">
        <v>22</v>
      </c>
      <c r="I233" s="19680">
        <v>45398</v>
      </c>
      <c r="J233" s="16766" t="s">
        <v>22</v>
      </c>
      <c r="K233" s="16577" t="s">
        <v>22</v>
      </c>
      <c r="L233" s="16766" t="s">
        <v>22</v>
      </c>
      <c r="M233" s="16577" t="s">
        <v>22</v>
      </c>
      <c r="N233" s="16766" t="s">
        <v>22</v>
      </c>
      <c r="O233" s="29860" t="s">
        <v>22</v>
      </c>
      <c r="P233" s="29856" t="s">
        <v>22</v>
      </c>
      <c r="Q233" s="16577" t="s">
        <v>22</v>
      </c>
      <c r="R233" s="16766" t="s">
        <v>22</v>
      </c>
      <c r="S233" s="16767" t="s">
        <v>965</v>
      </c>
      <c r="T233" s="16759"/>
      <c r="U233" s="16759"/>
      <c r="V233" s="16759"/>
      <c r="W233" s="16759"/>
      <c r="X233" s="16759"/>
      <c r="Y233" s="16759"/>
      <c r="Z233" s="16759"/>
      <c r="AA233" s="16759"/>
      <c r="AB233" s="16759"/>
      <c r="AC233" s="16768"/>
      <c r="AD233" s="16759">
        <v>0</v>
      </c>
    </row>
    <row s="36514" customFormat="1" customHeight="1" ht="15">
      <c r="A234" s="16759"/>
      <c r="B234" s="16760"/>
      <c r="C234" s="16761"/>
      <c r="D234" s="16762" t="str">
        <f>B232&amp;".3"</f>
        <v>3.66.3</v>
      </c>
      <c r="E234" s="16763" t="s">
        <v>966</v>
      </c>
      <c r="F234" s="16764" t="s">
        <v>324</v>
      </c>
      <c r="G234" s="16577" t="s">
        <v>22</v>
      </c>
      <c r="H234" s="16766" t="s">
        <v>22</v>
      </c>
      <c r="I234" s="19680" t="s">
        <v>22</v>
      </c>
      <c r="J234" s="16766" t="s">
        <v>22</v>
      </c>
      <c r="K234" s="16577" t="s">
        <v>22</v>
      </c>
      <c r="L234" s="16766" t="s">
        <v>22</v>
      </c>
      <c r="M234" s="16577" t="s">
        <v>22</v>
      </c>
      <c r="N234" s="16766" t="s">
        <v>22</v>
      </c>
      <c r="O234" s="29860" t="s">
        <v>22</v>
      </c>
      <c r="P234" s="29856" t="s">
        <v>22</v>
      </c>
      <c r="Q234" s="16577" t="s">
        <v>22</v>
      </c>
      <c r="R234" s="16766" t="s">
        <v>22</v>
      </c>
      <c r="S234" s="16767" t="s">
        <v>967</v>
      </c>
      <c r="T234" s="16759"/>
      <c r="U234" s="16759"/>
      <c r="V234" s="16759"/>
      <c r="W234" s="16759"/>
      <c r="X234" s="16759"/>
      <c r="Y234" s="16759"/>
      <c r="Z234" s="16759"/>
      <c r="AA234" s="16759"/>
      <c r="AB234" s="16759"/>
      <c r="AC234" s="16768"/>
      <c r="AD234" s="16759">
        <v>0</v>
      </c>
    </row>
    <row s="36515" customFormat="1" customHeight="1" ht="22.5">
      <c r="A235" s="16759"/>
      <c r="B235" s="16760" t="s">
        <v>1046</v>
      </c>
      <c r="C235" s="16761" t="s">
        <v>103</v>
      </c>
      <c r="D235" s="16762" t="str">
        <f>B235&amp;".1"</f>
        <v>3.67.1</v>
      </c>
      <c r="E235" s="16763" t="s">
        <v>963</v>
      </c>
      <c r="F235" s="16764" t="s">
        <v>324</v>
      </c>
      <c r="G235" s="16765" t="s">
        <v>22</v>
      </c>
      <c r="H235" s="16766" t="s">
        <v>22</v>
      </c>
      <c r="I235" s="16765" t="s">
        <v>981</v>
      </c>
      <c r="J235" s="16766" t="s">
        <v>22</v>
      </c>
      <c r="K235" s="16765" t="s">
        <v>22</v>
      </c>
      <c r="L235" s="16766" t="s">
        <v>22</v>
      </c>
      <c r="M235" s="16765" t="s">
        <v>22</v>
      </c>
      <c r="N235" s="16766" t="s">
        <v>22</v>
      </c>
      <c r="O235" s="29855" t="s">
        <v>22</v>
      </c>
      <c r="P235" s="29856" t="s">
        <v>22</v>
      </c>
      <c r="Q235" s="16765" t="s">
        <v>22</v>
      </c>
      <c r="R235" s="16766" t="s">
        <v>22</v>
      </c>
      <c r="S235" s="16767"/>
      <c r="T235" s="16759"/>
      <c r="U235" s="16759"/>
      <c r="V235" s="16759"/>
      <c r="W235" s="16759"/>
      <c r="X235" s="16759"/>
      <c r="Y235" s="16759"/>
      <c r="Z235" s="16759"/>
      <c r="AA235" s="16759"/>
      <c r="AB235" s="16759"/>
      <c r="AC235" s="16768"/>
      <c r="AD235" s="16759">
        <v>0</v>
      </c>
    </row>
    <row s="36516" customFormat="1" customHeight="1" ht="15">
      <c r="A236" s="16759"/>
      <c r="B236" s="16760"/>
      <c r="C236" s="16761"/>
      <c r="D236" s="16762" t="str">
        <f>B235&amp;".2"</f>
        <v>3.67.2</v>
      </c>
      <c r="E236" s="16763" t="s">
        <v>964</v>
      </c>
      <c r="F236" s="16764" t="s">
        <v>324</v>
      </c>
      <c r="G236" s="16577" t="s">
        <v>22</v>
      </c>
      <c r="H236" s="16766" t="s">
        <v>22</v>
      </c>
      <c r="I236" s="19680">
        <v>45398</v>
      </c>
      <c r="J236" s="16766" t="s">
        <v>22</v>
      </c>
      <c r="K236" s="16577" t="s">
        <v>22</v>
      </c>
      <c r="L236" s="16766" t="s">
        <v>22</v>
      </c>
      <c r="M236" s="16577" t="s">
        <v>22</v>
      </c>
      <c r="N236" s="16766" t="s">
        <v>22</v>
      </c>
      <c r="O236" s="29860" t="s">
        <v>22</v>
      </c>
      <c r="P236" s="29856" t="s">
        <v>22</v>
      </c>
      <c r="Q236" s="16577" t="s">
        <v>22</v>
      </c>
      <c r="R236" s="16766" t="s">
        <v>22</v>
      </c>
      <c r="S236" s="16767" t="s">
        <v>965</v>
      </c>
      <c r="T236" s="16759"/>
      <c r="U236" s="16759"/>
      <c r="V236" s="16759"/>
      <c r="W236" s="16759"/>
      <c r="X236" s="16759"/>
      <c r="Y236" s="16759"/>
      <c r="Z236" s="16759"/>
      <c r="AA236" s="16759"/>
      <c r="AB236" s="16759"/>
      <c r="AC236" s="16768"/>
      <c r="AD236" s="16759">
        <v>0</v>
      </c>
    </row>
    <row s="36517" customFormat="1" customHeight="1" ht="15">
      <c r="A237" s="16759"/>
      <c r="B237" s="16760"/>
      <c r="C237" s="16761"/>
      <c r="D237" s="16762" t="str">
        <f>B235&amp;".3"</f>
        <v>3.67.3</v>
      </c>
      <c r="E237" s="16763" t="s">
        <v>966</v>
      </c>
      <c r="F237" s="16764" t="s">
        <v>324</v>
      </c>
      <c r="G237" s="16577" t="s">
        <v>22</v>
      </c>
      <c r="H237" s="16766" t="s">
        <v>22</v>
      </c>
      <c r="I237" s="19680" t="s">
        <v>22</v>
      </c>
      <c r="J237" s="16766" t="s">
        <v>22</v>
      </c>
      <c r="K237" s="16577" t="s">
        <v>22</v>
      </c>
      <c r="L237" s="16766" t="s">
        <v>22</v>
      </c>
      <c r="M237" s="16577" t="s">
        <v>22</v>
      </c>
      <c r="N237" s="16766" t="s">
        <v>22</v>
      </c>
      <c r="O237" s="29860" t="s">
        <v>22</v>
      </c>
      <c r="P237" s="29856" t="s">
        <v>22</v>
      </c>
      <c r="Q237" s="16577" t="s">
        <v>22</v>
      </c>
      <c r="R237" s="16766" t="s">
        <v>22</v>
      </c>
      <c r="S237" s="16767" t="s">
        <v>967</v>
      </c>
      <c r="T237" s="16759"/>
      <c r="U237" s="16759"/>
      <c r="V237" s="16759"/>
      <c r="W237" s="16759"/>
      <c r="X237" s="16759"/>
      <c r="Y237" s="16759"/>
      <c r="Z237" s="16759"/>
      <c r="AA237" s="16759"/>
      <c r="AB237" s="16759"/>
      <c r="AC237" s="16768"/>
      <c r="AD237" s="16759">
        <v>0</v>
      </c>
    </row>
    <row s="36518" customFormat="1" customHeight="1" ht="22.5">
      <c r="A238" s="16759"/>
      <c r="B238" s="16760" t="s">
        <v>1047</v>
      </c>
      <c r="C238" s="16761" t="s">
        <v>103</v>
      </c>
      <c r="D238" s="16762" t="str">
        <f>B238&amp;".1"</f>
        <v>3.68.1</v>
      </c>
      <c r="E238" s="16763" t="s">
        <v>963</v>
      </c>
      <c r="F238" s="16764" t="s">
        <v>324</v>
      </c>
      <c r="G238" s="16765" t="s">
        <v>22</v>
      </c>
      <c r="H238" s="16766" t="s">
        <v>22</v>
      </c>
      <c r="I238" s="16765" t="s">
        <v>981</v>
      </c>
      <c r="J238" s="16766" t="s">
        <v>22</v>
      </c>
      <c r="K238" s="16765" t="s">
        <v>22</v>
      </c>
      <c r="L238" s="16766" t="s">
        <v>22</v>
      </c>
      <c r="M238" s="16765" t="s">
        <v>22</v>
      </c>
      <c r="N238" s="16766" t="s">
        <v>22</v>
      </c>
      <c r="O238" s="29855" t="s">
        <v>22</v>
      </c>
      <c r="P238" s="29856" t="s">
        <v>22</v>
      </c>
      <c r="Q238" s="16765" t="s">
        <v>22</v>
      </c>
      <c r="R238" s="16766" t="s">
        <v>22</v>
      </c>
      <c r="S238" s="16767"/>
      <c r="T238" s="16759"/>
      <c r="U238" s="16759"/>
      <c r="V238" s="16759"/>
      <c r="W238" s="16759"/>
      <c r="X238" s="16759"/>
      <c r="Y238" s="16759"/>
      <c r="Z238" s="16759"/>
      <c r="AA238" s="16759"/>
      <c r="AB238" s="16759"/>
      <c r="AC238" s="16768"/>
      <c r="AD238" s="16759">
        <v>0</v>
      </c>
    </row>
    <row s="36519" customFormat="1" customHeight="1" ht="15">
      <c r="A239" s="16759"/>
      <c r="B239" s="16760"/>
      <c r="C239" s="16761"/>
      <c r="D239" s="16762" t="str">
        <f>B238&amp;".2"</f>
        <v>3.68.2</v>
      </c>
      <c r="E239" s="16763" t="s">
        <v>964</v>
      </c>
      <c r="F239" s="16764" t="s">
        <v>324</v>
      </c>
      <c r="G239" s="16577" t="s">
        <v>22</v>
      </c>
      <c r="H239" s="16766" t="s">
        <v>22</v>
      </c>
      <c r="I239" s="19680">
        <v>45398</v>
      </c>
      <c r="J239" s="16766" t="s">
        <v>22</v>
      </c>
      <c r="K239" s="16577" t="s">
        <v>22</v>
      </c>
      <c r="L239" s="16766" t="s">
        <v>22</v>
      </c>
      <c r="M239" s="16577" t="s">
        <v>22</v>
      </c>
      <c r="N239" s="16766" t="s">
        <v>22</v>
      </c>
      <c r="O239" s="29860" t="s">
        <v>22</v>
      </c>
      <c r="P239" s="29856" t="s">
        <v>22</v>
      </c>
      <c r="Q239" s="16577" t="s">
        <v>22</v>
      </c>
      <c r="R239" s="16766" t="s">
        <v>22</v>
      </c>
      <c r="S239" s="16767" t="s">
        <v>965</v>
      </c>
      <c r="T239" s="16759"/>
      <c r="U239" s="16759"/>
      <c r="V239" s="16759"/>
      <c r="W239" s="16759"/>
      <c r="X239" s="16759"/>
      <c r="Y239" s="16759"/>
      <c r="Z239" s="16759"/>
      <c r="AA239" s="16759"/>
      <c r="AB239" s="16759"/>
      <c r="AC239" s="16768"/>
      <c r="AD239" s="16759">
        <v>0</v>
      </c>
    </row>
    <row s="36520" customFormat="1" customHeight="1" ht="15">
      <c r="A240" s="16759"/>
      <c r="B240" s="16760"/>
      <c r="C240" s="16761"/>
      <c r="D240" s="16762" t="str">
        <f>B238&amp;".3"</f>
        <v>3.68.3</v>
      </c>
      <c r="E240" s="16763" t="s">
        <v>966</v>
      </c>
      <c r="F240" s="16764" t="s">
        <v>324</v>
      </c>
      <c r="G240" s="16577" t="s">
        <v>22</v>
      </c>
      <c r="H240" s="16766" t="s">
        <v>22</v>
      </c>
      <c r="I240" s="19680" t="s">
        <v>22</v>
      </c>
      <c r="J240" s="16766" t="s">
        <v>22</v>
      </c>
      <c r="K240" s="16577" t="s">
        <v>22</v>
      </c>
      <c r="L240" s="16766" t="s">
        <v>22</v>
      </c>
      <c r="M240" s="16577" t="s">
        <v>22</v>
      </c>
      <c r="N240" s="16766" t="s">
        <v>22</v>
      </c>
      <c r="O240" s="29860" t="s">
        <v>22</v>
      </c>
      <c r="P240" s="29856" t="s">
        <v>22</v>
      </c>
      <c r="Q240" s="16577" t="s">
        <v>22</v>
      </c>
      <c r="R240" s="16766" t="s">
        <v>22</v>
      </c>
      <c r="S240" s="16767" t="s">
        <v>967</v>
      </c>
      <c r="T240" s="16759"/>
      <c r="U240" s="16759"/>
      <c r="V240" s="16759"/>
      <c r="W240" s="16759"/>
      <c r="X240" s="16759"/>
      <c r="Y240" s="16759"/>
      <c r="Z240" s="16759"/>
      <c r="AA240" s="16759"/>
      <c r="AB240" s="16759"/>
      <c r="AC240" s="16768"/>
      <c r="AD240" s="16759">
        <v>0</v>
      </c>
    </row>
    <row s="36521" customFormat="1" customHeight="1" ht="22.5">
      <c r="A241" s="16759"/>
      <c r="B241" s="16760" t="s">
        <v>1048</v>
      </c>
      <c r="C241" s="16761" t="s">
        <v>103</v>
      </c>
      <c r="D241" s="16762" t="str">
        <f>B241&amp;".1"</f>
        <v>3.69.1</v>
      </c>
      <c r="E241" s="16763" t="s">
        <v>963</v>
      </c>
      <c r="F241" s="16764" t="s">
        <v>324</v>
      </c>
      <c r="G241" s="16765" t="s">
        <v>22</v>
      </c>
      <c r="H241" s="16766" t="s">
        <v>22</v>
      </c>
      <c r="I241" s="16765" t="s">
        <v>981</v>
      </c>
      <c r="J241" s="16766" t="s">
        <v>22</v>
      </c>
      <c r="K241" s="16765" t="s">
        <v>22</v>
      </c>
      <c r="L241" s="16766" t="s">
        <v>22</v>
      </c>
      <c r="M241" s="16765" t="s">
        <v>22</v>
      </c>
      <c r="N241" s="16766" t="s">
        <v>22</v>
      </c>
      <c r="O241" s="29855" t="s">
        <v>22</v>
      </c>
      <c r="P241" s="29856" t="s">
        <v>22</v>
      </c>
      <c r="Q241" s="16765" t="s">
        <v>22</v>
      </c>
      <c r="R241" s="16766" t="s">
        <v>22</v>
      </c>
      <c r="S241" s="16767"/>
      <c r="T241" s="16759"/>
      <c r="U241" s="16759"/>
      <c r="V241" s="16759"/>
      <c r="W241" s="16759"/>
      <c r="X241" s="16759"/>
      <c r="Y241" s="16759"/>
      <c r="Z241" s="16759"/>
      <c r="AA241" s="16759"/>
      <c r="AB241" s="16759"/>
      <c r="AC241" s="16768"/>
      <c r="AD241" s="16759">
        <v>0</v>
      </c>
    </row>
    <row s="36522" customFormat="1" customHeight="1" ht="15">
      <c r="A242" s="16759"/>
      <c r="B242" s="16760"/>
      <c r="C242" s="16761"/>
      <c r="D242" s="16762" t="str">
        <f>B241&amp;".2"</f>
        <v>3.69.2</v>
      </c>
      <c r="E242" s="16763" t="s">
        <v>964</v>
      </c>
      <c r="F242" s="16764" t="s">
        <v>324</v>
      </c>
      <c r="G242" s="16577" t="s">
        <v>22</v>
      </c>
      <c r="H242" s="16766" t="s">
        <v>22</v>
      </c>
      <c r="I242" s="19680">
        <v>45398</v>
      </c>
      <c r="J242" s="16766" t="s">
        <v>22</v>
      </c>
      <c r="K242" s="16577" t="s">
        <v>22</v>
      </c>
      <c r="L242" s="16766" t="s">
        <v>22</v>
      </c>
      <c r="M242" s="16577" t="s">
        <v>22</v>
      </c>
      <c r="N242" s="16766" t="s">
        <v>22</v>
      </c>
      <c r="O242" s="29860" t="s">
        <v>22</v>
      </c>
      <c r="P242" s="29856" t="s">
        <v>22</v>
      </c>
      <c r="Q242" s="16577" t="s">
        <v>22</v>
      </c>
      <c r="R242" s="16766" t="s">
        <v>22</v>
      </c>
      <c r="S242" s="16767" t="s">
        <v>965</v>
      </c>
      <c r="T242" s="16759"/>
      <c r="U242" s="16759"/>
      <c r="V242" s="16759"/>
      <c r="W242" s="16759"/>
      <c r="X242" s="16759"/>
      <c r="Y242" s="16759"/>
      <c r="Z242" s="16759"/>
      <c r="AA242" s="16759"/>
      <c r="AB242" s="16759"/>
      <c r="AC242" s="16768"/>
      <c r="AD242" s="16759">
        <v>0</v>
      </c>
    </row>
    <row s="36523" customFormat="1" customHeight="1" ht="15">
      <c r="A243" s="16759"/>
      <c r="B243" s="16760"/>
      <c r="C243" s="16761"/>
      <c r="D243" s="16762" t="str">
        <f>B241&amp;".3"</f>
        <v>3.69.3</v>
      </c>
      <c r="E243" s="16763" t="s">
        <v>966</v>
      </c>
      <c r="F243" s="16764" t="s">
        <v>324</v>
      </c>
      <c r="G243" s="16577" t="s">
        <v>22</v>
      </c>
      <c r="H243" s="16766" t="s">
        <v>22</v>
      </c>
      <c r="I243" s="19680" t="s">
        <v>22</v>
      </c>
      <c r="J243" s="16766" t="s">
        <v>22</v>
      </c>
      <c r="K243" s="16577" t="s">
        <v>22</v>
      </c>
      <c r="L243" s="16766" t="s">
        <v>22</v>
      </c>
      <c r="M243" s="16577" t="s">
        <v>22</v>
      </c>
      <c r="N243" s="16766" t="s">
        <v>22</v>
      </c>
      <c r="O243" s="29860" t="s">
        <v>22</v>
      </c>
      <c r="P243" s="29856" t="s">
        <v>22</v>
      </c>
      <c r="Q243" s="16577" t="s">
        <v>22</v>
      </c>
      <c r="R243" s="16766" t="s">
        <v>22</v>
      </c>
      <c r="S243" s="16767" t="s">
        <v>967</v>
      </c>
      <c r="T243" s="16759"/>
      <c r="U243" s="16759"/>
      <c r="V243" s="16759"/>
      <c r="W243" s="16759"/>
      <c r="X243" s="16759"/>
      <c r="Y243" s="16759"/>
      <c r="Z243" s="16759"/>
      <c r="AA243" s="16759"/>
      <c r="AB243" s="16759"/>
      <c r="AC243" s="16768"/>
      <c r="AD243" s="16759">
        <v>0</v>
      </c>
    </row>
    <row s="36524" customFormat="1" customHeight="1" ht="22.5">
      <c r="A244" s="16759"/>
      <c r="B244" s="16760" t="s">
        <v>1049</v>
      </c>
      <c r="C244" s="16761" t="s">
        <v>103</v>
      </c>
      <c r="D244" s="16762" t="str">
        <f>B244&amp;".1"</f>
        <v>3.70.1</v>
      </c>
      <c r="E244" s="16763" t="s">
        <v>963</v>
      </c>
      <c r="F244" s="16764" t="s">
        <v>324</v>
      </c>
      <c r="G244" s="16765" t="s">
        <v>22</v>
      </c>
      <c r="H244" s="16766" t="s">
        <v>22</v>
      </c>
      <c r="I244" s="16765" t="s">
        <v>981</v>
      </c>
      <c r="J244" s="16766" t="s">
        <v>22</v>
      </c>
      <c r="K244" s="16765" t="s">
        <v>22</v>
      </c>
      <c r="L244" s="16766" t="s">
        <v>22</v>
      </c>
      <c r="M244" s="16765" t="s">
        <v>22</v>
      </c>
      <c r="N244" s="16766" t="s">
        <v>22</v>
      </c>
      <c r="O244" s="29855" t="s">
        <v>22</v>
      </c>
      <c r="P244" s="29856" t="s">
        <v>22</v>
      </c>
      <c r="Q244" s="16765" t="s">
        <v>22</v>
      </c>
      <c r="R244" s="16766" t="s">
        <v>22</v>
      </c>
      <c r="S244" s="16767"/>
      <c r="T244" s="16759"/>
      <c r="U244" s="16759"/>
      <c r="V244" s="16759"/>
      <c r="W244" s="16759"/>
      <c r="X244" s="16759"/>
      <c r="Y244" s="16759"/>
      <c r="Z244" s="16759"/>
      <c r="AA244" s="16759"/>
      <c r="AB244" s="16759"/>
      <c r="AC244" s="16768"/>
      <c r="AD244" s="16759">
        <v>0</v>
      </c>
    </row>
    <row s="36525" customFormat="1" customHeight="1" ht="15">
      <c r="A245" s="16759"/>
      <c r="B245" s="16760"/>
      <c r="C245" s="16761"/>
      <c r="D245" s="16762" t="str">
        <f>B244&amp;".2"</f>
        <v>3.70.2</v>
      </c>
      <c r="E245" s="16763" t="s">
        <v>964</v>
      </c>
      <c r="F245" s="16764" t="s">
        <v>324</v>
      </c>
      <c r="G245" s="16577" t="s">
        <v>22</v>
      </c>
      <c r="H245" s="16766" t="s">
        <v>22</v>
      </c>
      <c r="I245" s="19680">
        <v>45398</v>
      </c>
      <c r="J245" s="16766" t="s">
        <v>22</v>
      </c>
      <c r="K245" s="16577" t="s">
        <v>22</v>
      </c>
      <c r="L245" s="16766" t="s">
        <v>22</v>
      </c>
      <c r="M245" s="16577" t="s">
        <v>22</v>
      </c>
      <c r="N245" s="16766" t="s">
        <v>22</v>
      </c>
      <c r="O245" s="29860" t="s">
        <v>22</v>
      </c>
      <c r="P245" s="29856" t="s">
        <v>22</v>
      </c>
      <c r="Q245" s="16577" t="s">
        <v>22</v>
      </c>
      <c r="R245" s="16766" t="s">
        <v>22</v>
      </c>
      <c r="S245" s="16767" t="s">
        <v>965</v>
      </c>
      <c r="T245" s="16759"/>
      <c r="U245" s="16759"/>
      <c r="V245" s="16759"/>
      <c r="W245" s="16759"/>
      <c r="X245" s="16759"/>
      <c r="Y245" s="16759"/>
      <c r="Z245" s="16759"/>
      <c r="AA245" s="16759"/>
      <c r="AB245" s="16759"/>
      <c r="AC245" s="16768"/>
      <c r="AD245" s="16759">
        <v>0</v>
      </c>
    </row>
    <row s="36526" customFormat="1" customHeight="1" ht="15">
      <c r="A246" s="16759"/>
      <c r="B246" s="16760"/>
      <c r="C246" s="16761"/>
      <c r="D246" s="16762" t="str">
        <f>B244&amp;".3"</f>
        <v>3.70.3</v>
      </c>
      <c r="E246" s="16763" t="s">
        <v>966</v>
      </c>
      <c r="F246" s="16764" t="s">
        <v>324</v>
      </c>
      <c r="G246" s="16577" t="s">
        <v>22</v>
      </c>
      <c r="H246" s="16766" t="s">
        <v>22</v>
      </c>
      <c r="I246" s="19680" t="s">
        <v>22</v>
      </c>
      <c r="J246" s="16766" t="s">
        <v>22</v>
      </c>
      <c r="K246" s="16577" t="s">
        <v>22</v>
      </c>
      <c r="L246" s="16766" t="s">
        <v>22</v>
      </c>
      <c r="M246" s="16577" t="s">
        <v>22</v>
      </c>
      <c r="N246" s="16766" t="s">
        <v>22</v>
      </c>
      <c r="O246" s="29860" t="s">
        <v>22</v>
      </c>
      <c r="P246" s="29856" t="s">
        <v>22</v>
      </c>
      <c r="Q246" s="16577" t="s">
        <v>22</v>
      </c>
      <c r="R246" s="16766" t="s">
        <v>22</v>
      </c>
      <c r="S246" s="16767" t="s">
        <v>967</v>
      </c>
      <c r="T246" s="16759"/>
      <c r="U246" s="16759"/>
      <c r="V246" s="16759"/>
      <c r="W246" s="16759"/>
      <c r="X246" s="16759"/>
      <c r="Y246" s="16759"/>
      <c r="Z246" s="16759"/>
      <c r="AA246" s="16759"/>
      <c r="AB246" s="16759"/>
      <c r="AC246" s="16768"/>
      <c r="AD246" s="16759">
        <v>0</v>
      </c>
    </row>
    <row s="36527" customFormat="1" customHeight="1" ht="22.5">
      <c r="A247" s="16759"/>
      <c r="B247" s="16760" t="s">
        <v>1050</v>
      </c>
      <c r="C247" s="16761" t="s">
        <v>103</v>
      </c>
      <c r="D247" s="16762" t="str">
        <f>B247&amp;".1"</f>
        <v>3.71.1</v>
      </c>
      <c r="E247" s="16763" t="s">
        <v>963</v>
      </c>
      <c r="F247" s="16764" t="s">
        <v>324</v>
      </c>
      <c r="G247" s="16765" t="s">
        <v>22</v>
      </c>
      <c r="H247" s="16766" t="s">
        <v>22</v>
      </c>
      <c r="I247" s="16765" t="s">
        <v>981</v>
      </c>
      <c r="J247" s="16766" t="s">
        <v>22</v>
      </c>
      <c r="K247" s="16765" t="s">
        <v>22</v>
      </c>
      <c r="L247" s="16766" t="s">
        <v>22</v>
      </c>
      <c r="M247" s="16765" t="s">
        <v>22</v>
      </c>
      <c r="N247" s="16766" t="s">
        <v>22</v>
      </c>
      <c r="O247" s="29855" t="s">
        <v>22</v>
      </c>
      <c r="P247" s="29856" t="s">
        <v>22</v>
      </c>
      <c r="Q247" s="16765" t="s">
        <v>22</v>
      </c>
      <c r="R247" s="16766" t="s">
        <v>22</v>
      </c>
      <c r="S247" s="16767"/>
      <c r="T247" s="16759"/>
      <c r="U247" s="16759"/>
      <c r="V247" s="16759"/>
      <c r="W247" s="16759"/>
      <c r="X247" s="16759"/>
      <c r="Y247" s="16759"/>
      <c r="Z247" s="16759"/>
      <c r="AA247" s="16759"/>
      <c r="AB247" s="16759"/>
      <c r="AC247" s="16768"/>
      <c r="AD247" s="16759">
        <v>0</v>
      </c>
    </row>
    <row s="36528" customFormat="1" customHeight="1" ht="15">
      <c r="A248" s="16759"/>
      <c r="B248" s="16760"/>
      <c r="C248" s="16761"/>
      <c r="D248" s="16762" t="str">
        <f>B247&amp;".2"</f>
        <v>3.71.2</v>
      </c>
      <c r="E248" s="16763" t="s">
        <v>964</v>
      </c>
      <c r="F248" s="16764" t="s">
        <v>324</v>
      </c>
      <c r="G248" s="16577" t="s">
        <v>22</v>
      </c>
      <c r="H248" s="16766" t="s">
        <v>22</v>
      </c>
      <c r="I248" s="19680">
        <v>45399</v>
      </c>
      <c r="J248" s="16766" t="s">
        <v>22</v>
      </c>
      <c r="K248" s="16577" t="s">
        <v>22</v>
      </c>
      <c r="L248" s="16766" t="s">
        <v>22</v>
      </c>
      <c r="M248" s="16577" t="s">
        <v>22</v>
      </c>
      <c r="N248" s="16766" t="s">
        <v>22</v>
      </c>
      <c r="O248" s="29860" t="s">
        <v>22</v>
      </c>
      <c r="P248" s="29856" t="s">
        <v>22</v>
      </c>
      <c r="Q248" s="16577" t="s">
        <v>22</v>
      </c>
      <c r="R248" s="16766" t="s">
        <v>22</v>
      </c>
      <c r="S248" s="16767" t="s">
        <v>965</v>
      </c>
      <c r="T248" s="16759"/>
      <c r="U248" s="16759"/>
      <c r="V248" s="16759"/>
      <c r="W248" s="16759"/>
      <c r="X248" s="16759"/>
      <c r="Y248" s="16759"/>
      <c r="Z248" s="16759"/>
      <c r="AA248" s="16759"/>
      <c r="AB248" s="16759"/>
      <c r="AC248" s="16768"/>
      <c r="AD248" s="16759">
        <v>0</v>
      </c>
    </row>
    <row s="36529" customFormat="1" customHeight="1" ht="15">
      <c r="A249" s="16759"/>
      <c r="B249" s="16760"/>
      <c r="C249" s="16761"/>
      <c r="D249" s="16762" t="str">
        <f>B247&amp;".3"</f>
        <v>3.71.3</v>
      </c>
      <c r="E249" s="16763" t="s">
        <v>966</v>
      </c>
      <c r="F249" s="16764" t="s">
        <v>324</v>
      </c>
      <c r="G249" s="16577" t="s">
        <v>22</v>
      </c>
      <c r="H249" s="16766" t="s">
        <v>22</v>
      </c>
      <c r="I249" s="19680" t="s">
        <v>22</v>
      </c>
      <c r="J249" s="16766" t="s">
        <v>22</v>
      </c>
      <c r="K249" s="16577" t="s">
        <v>22</v>
      </c>
      <c r="L249" s="16766" t="s">
        <v>22</v>
      </c>
      <c r="M249" s="16577" t="s">
        <v>22</v>
      </c>
      <c r="N249" s="16766" t="s">
        <v>22</v>
      </c>
      <c r="O249" s="29860" t="s">
        <v>22</v>
      </c>
      <c r="P249" s="29856" t="s">
        <v>22</v>
      </c>
      <c r="Q249" s="16577" t="s">
        <v>22</v>
      </c>
      <c r="R249" s="16766" t="s">
        <v>22</v>
      </c>
      <c r="S249" s="16767" t="s">
        <v>967</v>
      </c>
      <c r="T249" s="16759"/>
      <c r="U249" s="16759"/>
      <c r="V249" s="16759"/>
      <c r="W249" s="16759"/>
      <c r="X249" s="16759"/>
      <c r="Y249" s="16759"/>
      <c r="Z249" s="16759"/>
      <c r="AA249" s="16759"/>
      <c r="AB249" s="16759"/>
      <c r="AC249" s="16768"/>
      <c r="AD249" s="16759">
        <v>0</v>
      </c>
    </row>
    <row s="36530" customFormat="1" customHeight="1" ht="22.5">
      <c r="A250" s="16759"/>
      <c r="B250" s="16760" t="s">
        <v>1051</v>
      </c>
      <c r="C250" s="16761" t="s">
        <v>103</v>
      </c>
      <c r="D250" s="16762" t="str">
        <f>B250&amp;".1"</f>
        <v>3.72.1</v>
      </c>
      <c r="E250" s="16763" t="s">
        <v>963</v>
      </c>
      <c r="F250" s="16764" t="s">
        <v>324</v>
      </c>
      <c r="G250" s="16765" t="s">
        <v>22</v>
      </c>
      <c r="H250" s="16766" t="s">
        <v>22</v>
      </c>
      <c r="I250" s="16765" t="s">
        <v>981</v>
      </c>
      <c r="J250" s="16766" t="s">
        <v>22</v>
      </c>
      <c r="K250" s="16765" t="s">
        <v>22</v>
      </c>
      <c r="L250" s="16766" t="s">
        <v>22</v>
      </c>
      <c r="M250" s="16765" t="s">
        <v>22</v>
      </c>
      <c r="N250" s="16766" t="s">
        <v>22</v>
      </c>
      <c r="O250" s="29855" t="s">
        <v>22</v>
      </c>
      <c r="P250" s="29856" t="s">
        <v>22</v>
      </c>
      <c r="Q250" s="16765" t="s">
        <v>22</v>
      </c>
      <c r="R250" s="16766" t="s">
        <v>22</v>
      </c>
      <c r="S250" s="16767"/>
      <c r="T250" s="16759"/>
      <c r="U250" s="16759"/>
      <c r="V250" s="16759"/>
      <c r="W250" s="16759"/>
      <c r="X250" s="16759"/>
      <c r="Y250" s="16759"/>
      <c r="Z250" s="16759"/>
      <c r="AA250" s="16759"/>
      <c r="AB250" s="16759"/>
      <c r="AC250" s="16768"/>
      <c r="AD250" s="16759">
        <v>0</v>
      </c>
    </row>
    <row s="36531" customFormat="1" customHeight="1" ht="15">
      <c r="A251" s="16759"/>
      <c r="B251" s="16760"/>
      <c r="C251" s="16761"/>
      <c r="D251" s="16762" t="str">
        <f>B250&amp;".2"</f>
        <v>3.72.2</v>
      </c>
      <c r="E251" s="16763" t="s">
        <v>964</v>
      </c>
      <c r="F251" s="16764" t="s">
        <v>324</v>
      </c>
      <c r="G251" s="16577" t="s">
        <v>22</v>
      </c>
      <c r="H251" s="16766" t="s">
        <v>22</v>
      </c>
      <c r="I251" s="19680">
        <v>45399</v>
      </c>
      <c r="J251" s="16766" t="s">
        <v>22</v>
      </c>
      <c r="K251" s="16577" t="s">
        <v>22</v>
      </c>
      <c r="L251" s="16766" t="s">
        <v>22</v>
      </c>
      <c r="M251" s="16577" t="s">
        <v>22</v>
      </c>
      <c r="N251" s="16766" t="s">
        <v>22</v>
      </c>
      <c r="O251" s="29860" t="s">
        <v>22</v>
      </c>
      <c r="P251" s="29856" t="s">
        <v>22</v>
      </c>
      <c r="Q251" s="16577" t="s">
        <v>22</v>
      </c>
      <c r="R251" s="16766" t="s">
        <v>22</v>
      </c>
      <c r="S251" s="16767" t="s">
        <v>965</v>
      </c>
      <c r="T251" s="16759"/>
      <c r="U251" s="16759"/>
      <c r="V251" s="16759"/>
      <c r="W251" s="16759"/>
      <c r="X251" s="16759"/>
      <c r="Y251" s="16759"/>
      <c r="Z251" s="16759"/>
      <c r="AA251" s="16759"/>
      <c r="AB251" s="16759"/>
      <c r="AC251" s="16768"/>
      <c r="AD251" s="16759">
        <v>0</v>
      </c>
    </row>
    <row s="36532" customFormat="1" customHeight="1" ht="15">
      <c r="A252" s="16759"/>
      <c r="B252" s="16760"/>
      <c r="C252" s="16761"/>
      <c r="D252" s="16762" t="str">
        <f>B250&amp;".3"</f>
        <v>3.72.3</v>
      </c>
      <c r="E252" s="16763" t="s">
        <v>966</v>
      </c>
      <c r="F252" s="16764" t="s">
        <v>324</v>
      </c>
      <c r="G252" s="16577" t="s">
        <v>22</v>
      </c>
      <c r="H252" s="16766" t="s">
        <v>22</v>
      </c>
      <c r="I252" s="19680" t="s">
        <v>22</v>
      </c>
      <c r="J252" s="16766" t="s">
        <v>22</v>
      </c>
      <c r="K252" s="16577" t="s">
        <v>22</v>
      </c>
      <c r="L252" s="16766" t="s">
        <v>22</v>
      </c>
      <c r="M252" s="16577" t="s">
        <v>22</v>
      </c>
      <c r="N252" s="16766" t="s">
        <v>22</v>
      </c>
      <c r="O252" s="29860" t="s">
        <v>22</v>
      </c>
      <c r="P252" s="29856" t="s">
        <v>22</v>
      </c>
      <c r="Q252" s="16577" t="s">
        <v>22</v>
      </c>
      <c r="R252" s="16766" t="s">
        <v>22</v>
      </c>
      <c r="S252" s="16767" t="s">
        <v>967</v>
      </c>
      <c r="T252" s="16759"/>
      <c r="U252" s="16759"/>
      <c r="V252" s="16759"/>
      <c r="W252" s="16759"/>
      <c r="X252" s="16759"/>
      <c r="Y252" s="16759"/>
      <c r="Z252" s="16759"/>
      <c r="AA252" s="16759"/>
      <c r="AB252" s="16759"/>
      <c r="AC252" s="16768"/>
      <c r="AD252" s="16759">
        <v>0</v>
      </c>
    </row>
    <row s="36533" customFormat="1" customHeight="1" ht="22.5">
      <c r="A253" s="16759"/>
      <c r="B253" s="16760" t="s">
        <v>1052</v>
      </c>
      <c r="C253" s="16761" t="s">
        <v>103</v>
      </c>
      <c r="D253" s="16762" t="str">
        <f>B253&amp;".1"</f>
        <v>3.73.1</v>
      </c>
      <c r="E253" s="16763" t="s">
        <v>963</v>
      </c>
      <c r="F253" s="16764" t="s">
        <v>324</v>
      </c>
      <c r="G253" s="16765" t="s">
        <v>22</v>
      </c>
      <c r="H253" s="16766" t="s">
        <v>22</v>
      </c>
      <c r="I253" s="16765" t="s">
        <v>981</v>
      </c>
      <c r="J253" s="16766" t="s">
        <v>22</v>
      </c>
      <c r="K253" s="16765" t="s">
        <v>22</v>
      </c>
      <c r="L253" s="16766" t="s">
        <v>22</v>
      </c>
      <c r="M253" s="16765" t="s">
        <v>22</v>
      </c>
      <c r="N253" s="16766" t="s">
        <v>22</v>
      </c>
      <c r="O253" s="29855" t="s">
        <v>22</v>
      </c>
      <c r="P253" s="29856" t="s">
        <v>22</v>
      </c>
      <c r="Q253" s="16765" t="s">
        <v>22</v>
      </c>
      <c r="R253" s="16766" t="s">
        <v>22</v>
      </c>
      <c r="S253" s="16767"/>
      <c r="T253" s="16759"/>
      <c r="U253" s="16759"/>
      <c r="V253" s="16759"/>
      <c r="W253" s="16759"/>
      <c r="X253" s="16759"/>
      <c r="Y253" s="16759"/>
      <c r="Z253" s="16759"/>
      <c r="AA253" s="16759"/>
      <c r="AB253" s="16759"/>
      <c r="AC253" s="16768"/>
      <c r="AD253" s="16759">
        <v>0</v>
      </c>
    </row>
    <row s="36534" customFormat="1" customHeight="1" ht="15">
      <c r="A254" s="16759"/>
      <c r="B254" s="16760"/>
      <c r="C254" s="16761"/>
      <c r="D254" s="16762" t="str">
        <f>B253&amp;".2"</f>
        <v>3.73.2</v>
      </c>
      <c r="E254" s="16763" t="s">
        <v>964</v>
      </c>
      <c r="F254" s="16764" t="s">
        <v>324</v>
      </c>
      <c r="G254" s="16577" t="s">
        <v>22</v>
      </c>
      <c r="H254" s="16766" t="s">
        <v>22</v>
      </c>
      <c r="I254" s="19680">
        <v>45399</v>
      </c>
      <c r="J254" s="16766" t="s">
        <v>22</v>
      </c>
      <c r="K254" s="16577" t="s">
        <v>22</v>
      </c>
      <c r="L254" s="16766" t="s">
        <v>22</v>
      </c>
      <c r="M254" s="16577" t="s">
        <v>22</v>
      </c>
      <c r="N254" s="16766" t="s">
        <v>22</v>
      </c>
      <c r="O254" s="29860" t="s">
        <v>22</v>
      </c>
      <c r="P254" s="29856" t="s">
        <v>22</v>
      </c>
      <c r="Q254" s="16577" t="s">
        <v>22</v>
      </c>
      <c r="R254" s="16766" t="s">
        <v>22</v>
      </c>
      <c r="S254" s="16767" t="s">
        <v>965</v>
      </c>
      <c r="T254" s="16759"/>
      <c r="U254" s="16759"/>
      <c r="V254" s="16759"/>
      <c r="W254" s="16759"/>
      <c r="X254" s="16759"/>
      <c r="Y254" s="16759"/>
      <c r="Z254" s="16759"/>
      <c r="AA254" s="16759"/>
      <c r="AB254" s="16759"/>
      <c r="AC254" s="16768"/>
      <c r="AD254" s="16759">
        <v>0</v>
      </c>
    </row>
    <row s="36535" customFormat="1" customHeight="1" ht="15">
      <c r="A255" s="16759"/>
      <c r="B255" s="16760"/>
      <c r="C255" s="16761"/>
      <c r="D255" s="16762" t="str">
        <f>B253&amp;".3"</f>
        <v>3.73.3</v>
      </c>
      <c r="E255" s="16763" t="s">
        <v>966</v>
      </c>
      <c r="F255" s="16764" t="s">
        <v>324</v>
      </c>
      <c r="G255" s="16577" t="s">
        <v>22</v>
      </c>
      <c r="H255" s="16766" t="s">
        <v>22</v>
      </c>
      <c r="I255" s="19680" t="s">
        <v>22</v>
      </c>
      <c r="J255" s="16766" t="s">
        <v>22</v>
      </c>
      <c r="K255" s="16577" t="s">
        <v>22</v>
      </c>
      <c r="L255" s="16766" t="s">
        <v>22</v>
      </c>
      <c r="M255" s="16577" t="s">
        <v>22</v>
      </c>
      <c r="N255" s="16766" t="s">
        <v>22</v>
      </c>
      <c r="O255" s="29860" t="s">
        <v>22</v>
      </c>
      <c r="P255" s="29856" t="s">
        <v>22</v>
      </c>
      <c r="Q255" s="16577" t="s">
        <v>22</v>
      </c>
      <c r="R255" s="16766" t="s">
        <v>22</v>
      </c>
      <c r="S255" s="16767" t="s">
        <v>967</v>
      </c>
      <c r="T255" s="16759"/>
      <c r="U255" s="16759"/>
      <c r="V255" s="16759"/>
      <c r="W255" s="16759"/>
      <c r="X255" s="16759"/>
      <c r="Y255" s="16759"/>
      <c r="Z255" s="16759"/>
      <c r="AA255" s="16759"/>
      <c r="AB255" s="16759"/>
      <c r="AC255" s="16768"/>
      <c r="AD255" s="16759">
        <v>0</v>
      </c>
    </row>
    <row s="36536" customFormat="1" customHeight="1" ht="22.5">
      <c r="A256" s="16759"/>
      <c r="B256" s="16760" t="s">
        <v>1053</v>
      </c>
      <c r="C256" s="16761" t="s">
        <v>103</v>
      </c>
      <c r="D256" s="16762" t="str">
        <f>B256&amp;".1"</f>
        <v>3.74.1</v>
      </c>
      <c r="E256" s="16763" t="s">
        <v>963</v>
      </c>
      <c r="F256" s="16764" t="s">
        <v>324</v>
      </c>
      <c r="G256" s="16765" t="s">
        <v>22</v>
      </c>
      <c r="H256" s="16766" t="s">
        <v>22</v>
      </c>
      <c r="I256" s="16765" t="s">
        <v>981</v>
      </c>
      <c r="J256" s="16766" t="s">
        <v>22</v>
      </c>
      <c r="K256" s="16765" t="s">
        <v>22</v>
      </c>
      <c r="L256" s="16766" t="s">
        <v>22</v>
      </c>
      <c r="M256" s="16765" t="s">
        <v>22</v>
      </c>
      <c r="N256" s="16766" t="s">
        <v>22</v>
      </c>
      <c r="O256" s="29855" t="s">
        <v>22</v>
      </c>
      <c r="P256" s="29856" t="s">
        <v>22</v>
      </c>
      <c r="Q256" s="16765" t="s">
        <v>22</v>
      </c>
      <c r="R256" s="16766" t="s">
        <v>22</v>
      </c>
      <c r="S256" s="16767"/>
      <c r="T256" s="16759"/>
      <c r="U256" s="16759"/>
      <c r="V256" s="16759"/>
      <c r="W256" s="16759"/>
      <c r="X256" s="16759"/>
      <c r="Y256" s="16759"/>
      <c r="Z256" s="16759"/>
      <c r="AA256" s="16759"/>
      <c r="AB256" s="16759"/>
      <c r="AC256" s="16768"/>
      <c r="AD256" s="16759">
        <v>0</v>
      </c>
    </row>
    <row s="36537" customFormat="1" customHeight="1" ht="15">
      <c r="A257" s="16759"/>
      <c r="B257" s="16760"/>
      <c r="C257" s="16761"/>
      <c r="D257" s="16762" t="str">
        <f>B256&amp;".2"</f>
        <v>3.74.2</v>
      </c>
      <c r="E257" s="16763" t="s">
        <v>964</v>
      </c>
      <c r="F257" s="16764" t="s">
        <v>324</v>
      </c>
      <c r="G257" s="16577" t="s">
        <v>22</v>
      </c>
      <c r="H257" s="16766" t="s">
        <v>22</v>
      </c>
      <c r="I257" s="19680">
        <v>45399</v>
      </c>
      <c r="J257" s="16766" t="s">
        <v>22</v>
      </c>
      <c r="K257" s="16577" t="s">
        <v>22</v>
      </c>
      <c r="L257" s="16766" t="s">
        <v>22</v>
      </c>
      <c r="M257" s="16577" t="s">
        <v>22</v>
      </c>
      <c r="N257" s="16766" t="s">
        <v>22</v>
      </c>
      <c r="O257" s="29860" t="s">
        <v>22</v>
      </c>
      <c r="P257" s="29856" t="s">
        <v>22</v>
      </c>
      <c r="Q257" s="16577" t="s">
        <v>22</v>
      </c>
      <c r="R257" s="16766" t="s">
        <v>22</v>
      </c>
      <c r="S257" s="16767" t="s">
        <v>965</v>
      </c>
      <c r="T257" s="16759"/>
      <c r="U257" s="16759"/>
      <c r="V257" s="16759"/>
      <c r="W257" s="16759"/>
      <c r="X257" s="16759"/>
      <c r="Y257" s="16759"/>
      <c r="Z257" s="16759"/>
      <c r="AA257" s="16759"/>
      <c r="AB257" s="16759"/>
      <c r="AC257" s="16768"/>
      <c r="AD257" s="16759">
        <v>0</v>
      </c>
    </row>
    <row s="36538" customFormat="1" customHeight="1" ht="15">
      <c r="A258" s="16759"/>
      <c r="B258" s="16760"/>
      <c r="C258" s="16761"/>
      <c r="D258" s="16762" t="str">
        <f>B256&amp;".3"</f>
        <v>3.74.3</v>
      </c>
      <c r="E258" s="16763" t="s">
        <v>966</v>
      </c>
      <c r="F258" s="16764" t="s">
        <v>324</v>
      </c>
      <c r="G258" s="16577" t="s">
        <v>22</v>
      </c>
      <c r="H258" s="16766" t="s">
        <v>22</v>
      </c>
      <c r="I258" s="19680" t="s">
        <v>22</v>
      </c>
      <c r="J258" s="16766" t="s">
        <v>22</v>
      </c>
      <c r="K258" s="16577" t="s">
        <v>22</v>
      </c>
      <c r="L258" s="16766" t="s">
        <v>22</v>
      </c>
      <c r="M258" s="16577" t="s">
        <v>22</v>
      </c>
      <c r="N258" s="16766" t="s">
        <v>22</v>
      </c>
      <c r="O258" s="29860" t="s">
        <v>22</v>
      </c>
      <c r="P258" s="29856" t="s">
        <v>22</v>
      </c>
      <c r="Q258" s="16577" t="s">
        <v>22</v>
      </c>
      <c r="R258" s="16766" t="s">
        <v>22</v>
      </c>
      <c r="S258" s="16767" t="s">
        <v>967</v>
      </c>
      <c r="T258" s="16759"/>
      <c r="U258" s="16759"/>
      <c r="V258" s="16759"/>
      <c r="W258" s="16759"/>
      <c r="X258" s="16759"/>
      <c r="Y258" s="16759"/>
      <c r="Z258" s="16759"/>
      <c r="AA258" s="16759"/>
      <c r="AB258" s="16759"/>
      <c r="AC258" s="16768"/>
      <c r="AD258" s="16759">
        <v>0</v>
      </c>
    </row>
    <row s="36539" customFormat="1" customHeight="1" ht="22.5">
      <c r="A259" s="16759"/>
      <c r="B259" s="16760" t="s">
        <v>1054</v>
      </c>
      <c r="C259" s="16761" t="s">
        <v>103</v>
      </c>
      <c r="D259" s="16762" t="str">
        <f>B259&amp;".1"</f>
        <v>3.75.1</v>
      </c>
      <c r="E259" s="16763" t="s">
        <v>963</v>
      </c>
      <c r="F259" s="16764" t="s">
        <v>324</v>
      </c>
      <c r="G259" s="16765" t="s">
        <v>22</v>
      </c>
      <c r="H259" s="16766" t="s">
        <v>22</v>
      </c>
      <c r="I259" s="16765" t="s">
        <v>982</v>
      </c>
      <c r="J259" s="16766" t="s">
        <v>22</v>
      </c>
      <c r="K259" s="16765" t="s">
        <v>22</v>
      </c>
      <c r="L259" s="16766" t="s">
        <v>22</v>
      </c>
      <c r="M259" s="16765" t="s">
        <v>22</v>
      </c>
      <c r="N259" s="16766" t="s">
        <v>22</v>
      </c>
      <c r="O259" s="29855" t="s">
        <v>22</v>
      </c>
      <c r="P259" s="29856" t="s">
        <v>22</v>
      </c>
      <c r="Q259" s="16765" t="s">
        <v>22</v>
      </c>
      <c r="R259" s="16766" t="s">
        <v>22</v>
      </c>
      <c r="S259" s="16767"/>
      <c r="T259" s="16759"/>
      <c r="U259" s="16759"/>
      <c r="V259" s="16759"/>
      <c r="W259" s="16759"/>
      <c r="X259" s="16759"/>
      <c r="Y259" s="16759"/>
      <c r="Z259" s="16759"/>
      <c r="AA259" s="16759"/>
      <c r="AB259" s="16759"/>
      <c r="AC259" s="16768"/>
      <c r="AD259" s="16759">
        <v>0</v>
      </c>
    </row>
    <row s="36540" customFormat="1" customHeight="1" ht="15">
      <c r="A260" s="16759"/>
      <c r="B260" s="16760"/>
      <c r="C260" s="16761"/>
      <c r="D260" s="16762" t="str">
        <f>B259&amp;".2"</f>
        <v>3.75.2</v>
      </c>
      <c r="E260" s="16763" t="s">
        <v>964</v>
      </c>
      <c r="F260" s="16764" t="s">
        <v>324</v>
      </c>
      <c r="G260" s="16577" t="s">
        <v>22</v>
      </c>
      <c r="H260" s="16766" t="s">
        <v>22</v>
      </c>
      <c r="I260" s="33071">
        <v>45399</v>
      </c>
      <c r="J260" s="16766" t="s">
        <v>22</v>
      </c>
      <c r="K260" s="16577" t="s">
        <v>22</v>
      </c>
      <c r="L260" s="16766" t="s">
        <v>22</v>
      </c>
      <c r="M260" s="16577" t="s">
        <v>22</v>
      </c>
      <c r="N260" s="16766" t="s">
        <v>22</v>
      </c>
      <c r="O260" s="29860" t="s">
        <v>22</v>
      </c>
      <c r="P260" s="29856" t="s">
        <v>22</v>
      </c>
      <c r="Q260" s="16577" t="s">
        <v>22</v>
      </c>
      <c r="R260" s="16766" t="s">
        <v>22</v>
      </c>
      <c r="S260" s="16767" t="s">
        <v>965</v>
      </c>
      <c r="T260" s="16759"/>
      <c r="U260" s="16759"/>
      <c r="V260" s="16759"/>
      <c r="W260" s="16759"/>
      <c r="X260" s="16759"/>
      <c r="Y260" s="16759"/>
      <c r="Z260" s="16759"/>
      <c r="AA260" s="16759"/>
      <c r="AB260" s="16759"/>
      <c r="AC260" s="16768"/>
      <c r="AD260" s="16759">
        <v>0</v>
      </c>
    </row>
    <row s="36541" customFormat="1" customHeight="1" ht="15">
      <c r="A261" s="16759"/>
      <c r="B261" s="16760"/>
      <c r="C261" s="16761"/>
      <c r="D261" s="16762" t="str">
        <f>B259&amp;".3"</f>
        <v>3.75.3</v>
      </c>
      <c r="E261" s="16763" t="s">
        <v>966</v>
      </c>
      <c r="F261" s="16764" t="s">
        <v>324</v>
      </c>
      <c r="G261" s="16577" t="s">
        <v>22</v>
      </c>
      <c r="H261" s="16766" t="s">
        <v>22</v>
      </c>
      <c r="I261" s="19680" t="s">
        <v>22</v>
      </c>
      <c r="J261" s="16766" t="s">
        <v>22</v>
      </c>
      <c r="K261" s="16577" t="s">
        <v>22</v>
      </c>
      <c r="L261" s="16766" t="s">
        <v>22</v>
      </c>
      <c r="M261" s="16577" t="s">
        <v>22</v>
      </c>
      <c r="N261" s="16766" t="s">
        <v>22</v>
      </c>
      <c r="O261" s="29860" t="s">
        <v>22</v>
      </c>
      <c r="P261" s="29856" t="s">
        <v>22</v>
      </c>
      <c r="Q261" s="16577" t="s">
        <v>22</v>
      </c>
      <c r="R261" s="16766" t="s">
        <v>22</v>
      </c>
      <c r="S261" s="16767" t="s">
        <v>967</v>
      </c>
      <c r="T261" s="16759"/>
      <c r="U261" s="16759"/>
      <c r="V261" s="16759"/>
      <c r="W261" s="16759"/>
      <c r="X261" s="16759"/>
      <c r="Y261" s="16759"/>
      <c r="Z261" s="16759"/>
      <c r="AA261" s="16759"/>
      <c r="AB261" s="16759"/>
      <c r="AC261" s="16768"/>
      <c r="AD261" s="16759">
        <v>0</v>
      </c>
    </row>
    <row s="36542" customFormat="1" customHeight="1" ht="22.5">
      <c r="A262" s="16759"/>
      <c r="B262" s="16760" t="s">
        <v>1055</v>
      </c>
      <c r="C262" s="16761" t="s">
        <v>103</v>
      </c>
      <c r="D262" s="16762" t="str">
        <f>B262&amp;".1"</f>
        <v>3.76.1</v>
      </c>
      <c r="E262" s="16763" t="s">
        <v>963</v>
      </c>
      <c r="F262" s="16764" t="s">
        <v>324</v>
      </c>
      <c r="G262" s="16765" t="s">
        <v>22</v>
      </c>
      <c r="H262" s="16766" t="s">
        <v>22</v>
      </c>
      <c r="I262" s="16765" t="s">
        <v>981</v>
      </c>
      <c r="J262" s="16766" t="s">
        <v>22</v>
      </c>
      <c r="K262" s="16765" t="s">
        <v>22</v>
      </c>
      <c r="L262" s="16766" t="s">
        <v>22</v>
      </c>
      <c r="M262" s="16765" t="s">
        <v>22</v>
      </c>
      <c r="N262" s="16766" t="s">
        <v>22</v>
      </c>
      <c r="O262" s="29855" t="s">
        <v>22</v>
      </c>
      <c r="P262" s="29856" t="s">
        <v>22</v>
      </c>
      <c r="Q262" s="16765" t="s">
        <v>22</v>
      </c>
      <c r="R262" s="16766" t="s">
        <v>22</v>
      </c>
      <c r="S262" s="16767"/>
      <c r="T262" s="16759"/>
      <c r="U262" s="16759"/>
      <c r="V262" s="16759"/>
      <c r="W262" s="16759"/>
      <c r="X262" s="16759"/>
      <c r="Y262" s="16759"/>
      <c r="Z262" s="16759"/>
      <c r="AA262" s="16759"/>
      <c r="AB262" s="16759"/>
      <c r="AC262" s="16768"/>
      <c r="AD262" s="16759">
        <v>0</v>
      </c>
    </row>
    <row s="36543" customFormat="1" customHeight="1" ht="15">
      <c r="A263" s="16759"/>
      <c r="B263" s="16760"/>
      <c r="C263" s="16761"/>
      <c r="D263" s="16762" t="str">
        <f>B262&amp;".2"</f>
        <v>3.76.2</v>
      </c>
      <c r="E263" s="16763" t="s">
        <v>964</v>
      </c>
      <c r="F263" s="16764" t="s">
        <v>324</v>
      </c>
      <c r="G263" s="16577" t="s">
        <v>22</v>
      </c>
      <c r="H263" s="16766" t="s">
        <v>22</v>
      </c>
      <c r="I263" s="33071">
        <v>45399</v>
      </c>
      <c r="J263" s="16766" t="s">
        <v>22</v>
      </c>
      <c r="K263" s="16577" t="s">
        <v>22</v>
      </c>
      <c r="L263" s="16766" t="s">
        <v>22</v>
      </c>
      <c r="M263" s="16577" t="s">
        <v>22</v>
      </c>
      <c r="N263" s="16766" t="s">
        <v>22</v>
      </c>
      <c r="O263" s="29860" t="s">
        <v>22</v>
      </c>
      <c r="P263" s="29856" t="s">
        <v>22</v>
      </c>
      <c r="Q263" s="16577" t="s">
        <v>22</v>
      </c>
      <c r="R263" s="16766" t="s">
        <v>22</v>
      </c>
      <c r="S263" s="16767" t="s">
        <v>965</v>
      </c>
      <c r="T263" s="16759"/>
      <c r="U263" s="16759"/>
      <c r="V263" s="16759"/>
      <c r="W263" s="16759"/>
      <c r="X263" s="16759"/>
      <c r="Y263" s="16759"/>
      <c r="Z263" s="16759"/>
      <c r="AA263" s="16759"/>
      <c r="AB263" s="16759"/>
      <c r="AC263" s="16768"/>
      <c r="AD263" s="16759">
        <v>0</v>
      </c>
    </row>
    <row s="36544" customFormat="1" customHeight="1" ht="15">
      <c r="A264" s="16759"/>
      <c r="B264" s="16760"/>
      <c r="C264" s="16761"/>
      <c r="D264" s="16762" t="str">
        <f>B262&amp;".3"</f>
        <v>3.76.3</v>
      </c>
      <c r="E264" s="16763" t="s">
        <v>966</v>
      </c>
      <c r="F264" s="16764" t="s">
        <v>324</v>
      </c>
      <c r="G264" s="16577" t="s">
        <v>22</v>
      </c>
      <c r="H264" s="16766" t="s">
        <v>22</v>
      </c>
      <c r="I264" s="19680" t="s">
        <v>22</v>
      </c>
      <c r="J264" s="16766" t="s">
        <v>22</v>
      </c>
      <c r="K264" s="16577" t="s">
        <v>22</v>
      </c>
      <c r="L264" s="16766" t="s">
        <v>22</v>
      </c>
      <c r="M264" s="16577" t="s">
        <v>22</v>
      </c>
      <c r="N264" s="16766" t="s">
        <v>22</v>
      </c>
      <c r="O264" s="29860" t="s">
        <v>22</v>
      </c>
      <c r="P264" s="29856" t="s">
        <v>22</v>
      </c>
      <c r="Q264" s="16577" t="s">
        <v>22</v>
      </c>
      <c r="R264" s="16766" t="s">
        <v>22</v>
      </c>
      <c r="S264" s="16767" t="s">
        <v>967</v>
      </c>
      <c r="T264" s="16759"/>
      <c r="U264" s="16759"/>
      <c r="V264" s="16759"/>
      <c r="W264" s="16759"/>
      <c r="X264" s="16759"/>
      <c r="Y264" s="16759"/>
      <c r="Z264" s="16759"/>
      <c r="AA264" s="16759"/>
      <c r="AB264" s="16759"/>
      <c r="AC264" s="16768"/>
      <c r="AD264" s="16759">
        <v>0</v>
      </c>
    </row>
    <row s="36545" customFormat="1" customHeight="1" ht="22.5">
      <c r="A265" s="16759"/>
      <c r="B265" s="16760" t="s">
        <v>1056</v>
      </c>
      <c r="C265" s="16761" t="s">
        <v>103</v>
      </c>
      <c r="D265" s="16762" t="str">
        <f>B265&amp;".1"</f>
        <v>3.77.1</v>
      </c>
      <c r="E265" s="16763" t="s">
        <v>963</v>
      </c>
      <c r="F265" s="16764" t="s">
        <v>324</v>
      </c>
      <c r="G265" s="16765" t="s">
        <v>22</v>
      </c>
      <c r="H265" s="16766" t="s">
        <v>22</v>
      </c>
      <c r="I265" s="16765" t="s">
        <v>982</v>
      </c>
      <c r="J265" s="16766" t="s">
        <v>22</v>
      </c>
      <c r="K265" s="16765" t="s">
        <v>22</v>
      </c>
      <c r="L265" s="16766" t="s">
        <v>22</v>
      </c>
      <c r="M265" s="16765" t="s">
        <v>22</v>
      </c>
      <c r="N265" s="16766" t="s">
        <v>22</v>
      </c>
      <c r="O265" s="29855" t="s">
        <v>22</v>
      </c>
      <c r="P265" s="29856" t="s">
        <v>22</v>
      </c>
      <c r="Q265" s="16765" t="s">
        <v>22</v>
      </c>
      <c r="R265" s="16766" t="s">
        <v>22</v>
      </c>
      <c r="S265" s="16767"/>
      <c r="T265" s="16759"/>
      <c r="U265" s="16759"/>
      <c r="V265" s="16759"/>
      <c r="W265" s="16759"/>
      <c r="X265" s="16759"/>
      <c r="Y265" s="16759"/>
      <c r="Z265" s="16759"/>
      <c r="AA265" s="16759"/>
      <c r="AB265" s="16759"/>
      <c r="AC265" s="16768"/>
      <c r="AD265" s="16759">
        <v>0</v>
      </c>
    </row>
    <row s="36546" customFormat="1" customHeight="1" ht="15">
      <c r="A266" s="16759"/>
      <c r="B266" s="16760"/>
      <c r="C266" s="16761"/>
      <c r="D266" s="16762" t="str">
        <f>B265&amp;".2"</f>
        <v>3.77.2</v>
      </c>
      <c r="E266" s="16763" t="s">
        <v>964</v>
      </c>
      <c r="F266" s="16764" t="s">
        <v>324</v>
      </c>
      <c r="G266" s="16577" t="s">
        <v>22</v>
      </c>
      <c r="H266" s="16766" t="s">
        <v>22</v>
      </c>
      <c r="I266" s="19680">
        <v>45400</v>
      </c>
      <c r="J266" s="16766" t="s">
        <v>22</v>
      </c>
      <c r="K266" s="16577" t="s">
        <v>22</v>
      </c>
      <c r="L266" s="16766" t="s">
        <v>22</v>
      </c>
      <c r="M266" s="16577" t="s">
        <v>22</v>
      </c>
      <c r="N266" s="16766" t="s">
        <v>22</v>
      </c>
      <c r="O266" s="29860" t="s">
        <v>22</v>
      </c>
      <c r="P266" s="29856" t="s">
        <v>22</v>
      </c>
      <c r="Q266" s="16577" t="s">
        <v>22</v>
      </c>
      <c r="R266" s="16766" t="s">
        <v>22</v>
      </c>
      <c r="S266" s="16767" t="s">
        <v>965</v>
      </c>
      <c r="T266" s="16759"/>
      <c r="U266" s="16759"/>
      <c r="V266" s="16759"/>
      <c r="W266" s="16759"/>
      <c r="X266" s="16759"/>
      <c r="Y266" s="16759"/>
      <c r="Z266" s="16759"/>
      <c r="AA266" s="16759"/>
      <c r="AB266" s="16759"/>
      <c r="AC266" s="16768"/>
      <c r="AD266" s="16759">
        <v>0</v>
      </c>
    </row>
    <row s="36547" customFormat="1" customHeight="1" ht="15">
      <c r="A267" s="16759"/>
      <c r="B267" s="16760"/>
      <c r="C267" s="16761"/>
      <c r="D267" s="16762" t="str">
        <f>B265&amp;".3"</f>
        <v>3.77.3</v>
      </c>
      <c r="E267" s="16763" t="s">
        <v>966</v>
      </c>
      <c r="F267" s="16764" t="s">
        <v>324</v>
      </c>
      <c r="G267" s="16577" t="s">
        <v>22</v>
      </c>
      <c r="H267" s="16766" t="s">
        <v>22</v>
      </c>
      <c r="I267" s="19680" t="s">
        <v>22</v>
      </c>
      <c r="J267" s="16766" t="s">
        <v>22</v>
      </c>
      <c r="K267" s="16577" t="s">
        <v>22</v>
      </c>
      <c r="L267" s="16766" t="s">
        <v>22</v>
      </c>
      <c r="M267" s="16577" t="s">
        <v>22</v>
      </c>
      <c r="N267" s="16766" t="s">
        <v>22</v>
      </c>
      <c r="O267" s="29860" t="s">
        <v>22</v>
      </c>
      <c r="P267" s="29856" t="s">
        <v>22</v>
      </c>
      <c r="Q267" s="16577" t="s">
        <v>22</v>
      </c>
      <c r="R267" s="16766" t="s">
        <v>22</v>
      </c>
      <c r="S267" s="16767" t="s">
        <v>967</v>
      </c>
      <c r="T267" s="16759"/>
      <c r="U267" s="16759"/>
      <c r="V267" s="16759"/>
      <c r="W267" s="16759"/>
      <c r="X267" s="16759"/>
      <c r="Y267" s="16759"/>
      <c r="Z267" s="16759"/>
      <c r="AA267" s="16759"/>
      <c r="AB267" s="16759"/>
      <c r="AC267" s="16768"/>
      <c r="AD267" s="16759">
        <v>0</v>
      </c>
    </row>
    <row s="36548" customFormat="1" customHeight="1" ht="22.5">
      <c r="A268" s="16759"/>
      <c r="B268" s="16760" t="s">
        <v>1057</v>
      </c>
      <c r="C268" s="16761" t="s">
        <v>103</v>
      </c>
      <c r="D268" s="16762" t="str">
        <f>B268&amp;".1"</f>
        <v>3.78.1</v>
      </c>
      <c r="E268" s="16763" t="s">
        <v>963</v>
      </c>
      <c r="F268" s="16764" t="s">
        <v>324</v>
      </c>
      <c r="G268" s="16765" t="s">
        <v>22</v>
      </c>
      <c r="H268" s="16766" t="s">
        <v>22</v>
      </c>
      <c r="I268" s="16765" t="s">
        <v>981</v>
      </c>
      <c r="J268" s="16766" t="s">
        <v>22</v>
      </c>
      <c r="K268" s="16765" t="s">
        <v>22</v>
      </c>
      <c r="L268" s="16766" t="s">
        <v>22</v>
      </c>
      <c r="M268" s="16765" t="s">
        <v>22</v>
      </c>
      <c r="N268" s="16766" t="s">
        <v>22</v>
      </c>
      <c r="O268" s="29855" t="s">
        <v>22</v>
      </c>
      <c r="P268" s="29856" t="s">
        <v>22</v>
      </c>
      <c r="Q268" s="16765" t="s">
        <v>22</v>
      </c>
      <c r="R268" s="16766" t="s">
        <v>22</v>
      </c>
      <c r="S268" s="16767"/>
      <c r="T268" s="16759"/>
      <c r="U268" s="16759"/>
      <c r="V268" s="16759"/>
      <c r="W268" s="16759"/>
      <c r="X268" s="16759"/>
      <c r="Y268" s="16759"/>
      <c r="Z268" s="16759"/>
      <c r="AA268" s="16759"/>
      <c r="AB268" s="16759"/>
      <c r="AC268" s="16768"/>
      <c r="AD268" s="16759">
        <v>0</v>
      </c>
    </row>
    <row s="36549" customFormat="1" customHeight="1" ht="15">
      <c r="A269" s="16759"/>
      <c r="B269" s="16760"/>
      <c r="C269" s="16761"/>
      <c r="D269" s="16762" t="str">
        <f>B268&amp;".2"</f>
        <v>3.78.2</v>
      </c>
      <c r="E269" s="16763" t="s">
        <v>964</v>
      </c>
      <c r="F269" s="16764" t="s">
        <v>324</v>
      </c>
      <c r="G269" s="16577" t="s">
        <v>22</v>
      </c>
      <c r="H269" s="16766" t="s">
        <v>22</v>
      </c>
      <c r="I269" s="19680">
        <v>45400</v>
      </c>
      <c r="J269" s="16766" t="s">
        <v>22</v>
      </c>
      <c r="K269" s="16577" t="s">
        <v>22</v>
      </c>
      <c r="L269" s="16766" t="s">
        <v>22</v>
      </c>
      <c r="M269" s="16577" t="s">
        <v>22</v>
      </c>
      <c r="N269" s="16766" t="s">
        <v>22</v>
      </c>
      <c r="O269" s="29860" t="s">
        <v>22</v>
      </c>
      <c r="P269" s="29856" t="s">
        <v>22</v>
      </c>
      <c r="Q269" s="16577" t="s">
        <v>22</v>
      </c>
      <c r="R269" s="16766" t="s">
        <v>22</v>
      </c>
      <c r="S269" s="16767" t="s">
        <v>965</v>
      </c>
      <c r="T269" s="16759"/>
      <c r="U269" s="16759"/>
      <c r="V269" s="16759"/>
      <c r="W269" s="16759"/>
      <c r="X269" s="16759"/>
      <c r="Y269" s="16759"/>
      <c r="Z269" s="16759"/>
      <c r="AA269" s="16759"/>
      <c r="AB269" s="16759"/>
      <c r="AC269" s="16768"/>
      <c r="AD269" s="16759">
        <v>0</v>
      </c>
    </row>
    <row s="36550" customFormat="1" customHeight="1" ht="15">
      <c r="A270" s="16759"/>
      <c r="B270" s="16760"/>
      <c r="C270" s="16761"/>
      <c r="D270" s="16762" t="str">
        <f>B268&amp;".3"</f>
        <v>3.78.3</v>
      </c>
      <c r="E270" s="16763" t="s">
        <v>966</v>
      </c>
      <c r="F270" s="16764" t="s">
        <v>324</v>
      </c>
      <c r="G270" s="16577" t="s">
        <v>22</v>
      </c>
      <c r="H270" s="16766" t="s">
        <v>22</v>
      </c>
      <c r="I270" s="19680" t="s">
        <v>22</v>
      </c>
      <c r="J270" s="16766" t="s">
        <v>22</v>
      </c>
      <c r="K270" s="16577" t="s">
        <v>22</v>
      </c>
      <c r="L270" s="16766" t="s">
        <v>22</v>
      </c>
      <c r="M270" s="16577" t="s">
        <v>22</v>
      </c>
      <c r="N270" s="16766" t="s">
        <v>22</v>
      </c>
      <c r="O270" s="29860" t="s">
        <v>22</v>
      </c>
      <c r="P270" s="29856" t="s">
        <v>22</v>
      </c>
      <c r="Q270" s="16577" t="s">
        <v>22</v>
      </c>
      <c r="R270" s="16766" t="s">
        <v>22</v>
      </c>
      <c r="S270" s="16767" t="s">
        <v>967</v>
      </c>
      <c r="T270" s="16759"/>
      <c r="U270" s="16759"/>
      <c r="V270" s="16759"/>
      <c r="W270" s="16759"/>
      <c r="X270" s="16759"/>
      <c r="Y270" s="16759"/>
      <c r="Z270" s="16759"/>
      <c r="AA270" s="16759"/>
      <c r="AB270" s="16759"/>
      <c r="AC270" s="16768"/>
      <c r="AD270" s="16759">
        <v>0</v>
      </c>
    </row>
    <row s="36551" customFormat="1" customHeight="1" ht="22.5">
      <c r="A271" s="16759"/>
      <c r="B271" s="16760" t="s">
        <v>1058</v>
      </c>
      <c r="C271" s="16761" t="s">
        <v>103</v>
      </c>
      <c r="D271" s="16762" t="str">
        <f>B271&amp;".1"</f>
        <v>3.79.1</v>
      </c>
      <c r="E271" s="16763" t="s">
        <v>963</v>
      </c>
      <c r="F271" s="16764" t="s">
        <v>324</v>
      </c>
      <c r="G271" s="16765" t="s">
        <v>22</v>
      </c>
      <c r="H271" s="16766" t="s">
        <v>22</v>
      </c>
      <c r="I271" s="16765" t="s">
        <v>981</v>
      </c>
      <c r="J271" s="16766" t="s">
        <v>22</v>
      </c>
      <c r="K271" s="16765" t="s">
        <v>22</v>
      </c>
      <c r="L271" s="16766" t="s">
        <v>22</v>
      </c>
      <c r="M271" s="16765" t="s">
        <v>22</v>
      </c>
      <c r="N271" s="16766" t="s">
        <v>22</v>
      </c>
      <c r="O271" s="29855" t="s">
        <v>22</v>
      </c>
      <c r="P271" s="29856" t="s">
        <v>22</v>
      </c>
      <c r="Q271" s="16765" t="s">
        <v>22</v>
      </c>
      <c r="R271" s="16766" t="s">
        <v>22</v>
      </c>
      <c r="S271" s="16767"/>
      <c r="T271" s="16759"/>
      <c r="U271" s="16759"/>
      <c r="V271" s="16759"/>
      <c r="W271" s="16759"/>
      <c r="X271" s="16759"/>
      <c r="Y271" s="16759"/>
      <c r="Z271" s="16759"/>
      <c r="AA271" s="16759"/>
      <c r="AB271" s="16759"/>
      <c r="AC271" s="16768"/>
      <c r="AD271" s="16759">
        <v>0</v>
      </c>
    </row>
    <row s="36552" customFormat="1" customHeight="1" ht="15">
      <c r="A272" s="16759"/>
      <c r="B272" s="16760"/>
      <c r="C272" s="16761"/>
      <c r="D272" s="16762" t="str">
        <f>B271&amp;".2"</f>
        <v>3.79.2</v>
      </c>
      <c r="E272" s="16763" t="s">
        <v>964</v>
      </c>
      <c r="F272" s="16764" t="s">
        <v>324</v>
      </c>
      <c r="G272" s="16577" t="s">
        <v>22</v>
      </c>
      <c r="H272" s="16766" t="s">
        <v>22</v>
      </c>
      <c r="I272" s="19680">
        <v>45400</v>
      </c>
      <c r="J272" s="16766" t="s">
        <v>22</v>
      </c>
      <c r="K272" s="16577" t="s">
        <v>22</v>
      </c>
      <c r="L272" s="16766" t="s">
        <v>22</v>
      </c>
      <c r="M272" s="16577" t="s">
        <v>22</v>
      </c>
      <c r="N272" s="16766" t="s">
        <v>22</v>
      </c>
      <c r="O272" s="29860" t="s">
        <v>22</v>
      </c>
      <c r="P272" s="29856" t="s">
        <v>22</v>
      </c>
      <c r="Q272" s="16577" t="s">
        <v>22</v>
      </c>
      <c r="R272" s="16766" t="s">
        <v>22</v>
      </c>
      <c r="S272" s="16767" t="s">
        <v>965</v>
      </c>
      <c r="T272" s="16759"/>
      <c r="U272" s="16759"/>
      <c r="V272" s="16759"/>
      <c r="W272" s="16759"/>
      <c r="X272" s="16759"/>
      <c r="Y272" s="16759"/>
      <c r="Z272" s="16759"/>
      <c r="AA272" s="16759"/>
      <c r="AB272" s="16759"/>
      <c r="AC272" s="16768"/>
      <c r="AD272" s="16759">
        <v>0</v>
      </c>
    </row>
    <row s="36553" customFormat="1" customHeight="1" ht="15">
      <c r="A273" s="16759"/>
      <c r="B273" s="16760"/>
      <c r="C273" s="16761"/>
      <c r="D273" s="16762" t="str">
        <f>B271&amp;".3"</f>
        <v>3.79.3</v>
      </c>
      <c r="E273" s="16763" t="s">
        <v>966</v>
      </c>
      <c r="F273" s="16764" t="s">
        <v>324</v>
      </c>
      <c r="G273" s="16577" t="s">
        <v>22</v>
      </c>
      <c r="H273" s="16766" t="s">
        <v>22</v>
      </c>
      <c r="I273" s="19680" t="s">
        <v>22</v>
      </c>
      <c r="J273" s="16766" t="s">
        <v>22</v>
      </c>
      <c r="K273" s="16577" t="s">
        <v>22</v>
      </c>
      <c r="L273" s="16766" t="s">
        <v>22</v>
      </c>
      <c r="M273" s="16577" t="s">
        <v>22</v>
      </c>
      <c r="N273" s="16766" t="s">
        <v>22</v>
      </c>
      <c r="O273" s="29860" t="s">
        <v>22</v>
      </c>
      <c r="P273" s="29856" t="s">
        <v>22</v>
      </c>
      <c r="Q273" s="16577" t="s">
        <v>22</v>
      </c>
      <c r="R273" s="16766" t="s">
        <v>22</v>
      </c>
      <c r="S273" s="16767" t="s">
        <v>967</v>
      </c>
      <c r="T273" s="16759"/>
      <c r="U273" s="16759"/>
      <c r="V273" s="16759"/>
      <c r="W273" s="16759"/>
      <c r="X273" s="16759"/>
      <c r="Y273" s="16759"/>
      <c r="Z273" s="16759"/>
      <c r="AA273" s="16759"/>
      <c r="AB273" s="16759"/>
      <c r="AC273" s="16768"/>
      <c r="AD273" s="16759">
        <v>0</v>
      </c>
    </row>
    <row s="36554" customFormat="1" customHeight="1" ht="22.5">
      <c r="A274" s="16759"/>
      <c r="B274" s="16760" t="s">
        <v>1059</v>
      </c>
      <c r="C274" s="16761" t="s">
        <v>103</v>
      </c>
      <c r="D274" s="16762" t="str">
        <f>B274&amp;".1"</f>
        <v>3.80.1</v>
      </c>
      <c r="E274" s="16763" t="s">
        <v>963</v>
      </c>
      <c r="F274" s="16764" t="s">
        <v>324</v>
      </c>
      <c r="G274" s="16765" t="s">
        <v>22</v>
      </c>
      <c r="H274" s="16766" t="s">
        <v>22</v>
      </c>
      <c r="I274" s="16765" t="s">
        <v>981</v>
      </c>
      <c r="J274" s="16766" t="s">
        <v>22</v>
      </c>
      <c r="K274" s="16765" t="s">
        <v>22</v>
      </c>
      <c r="L274" s="16766" t="s">
        <v>22</v>
      </c>
      <c r="M274" s="16765" t="s">
        <v>22</v>
      </c>
      <c r="N274" s="16766" t="s">
        <v>22</v>
      </c>
      <c r="O274" s="29855" t="s">
        <v>22</v>
      </c>
      <c r="P274" s="29856" t="s">
        <v>22</v>
      </c>
      <c r="Q274" s="16765" t="s">
        <v>22</v>
      </c>
      <c r="R274" s="16766" t="s">
        <v>22</v>
      </c>
      <c r="S274" s="16767"/>
      <c r="T274" s="16759"/>
      <c r="U274" s="16759"/>
      <c r="V274" s="16759"/>
      <c r="W274" s="16759"/>
      <c r="X274" s="16759"/>
      <c r="Y274" s="16759"/>
      <c r="Z274" s="16759"/>
      <c r="AA274" s="16759"/>
      <c r="AB274" s="16759"/>
      <c r="AC274" s="16768"/>
      <c r="AD274" s="16759">
        <v>0</v>
      </c>
    </row>
    <row s="36555" customFormat="1" customHeight="1" ht="15">
      <c r="A275" s="16759"/>
      <c r="B275" s="16760"/>
      <c r="C275" s="16761"/>
      <c r="D275" s="16762" t="str">
        <f>B274&amp;".2"</f>
        <v>3.80.2</v>
      </c>
      <c r="E275" s="16763" t="s">
        <v>964</v>
      </c>
      <c r="F275" s="16764" t="s">
        <v>324</v>
      </c>
      <c r="G275" s="16577" t="s">
        <v>22</v>
      </c>
      <c r="H275" s="16766" t="s">
        <v>22</v>
      </c>
      <c r="I275" s="19680">
        <v>45400</v>
      </c>
      <c r="J275" s="16766" t="s">
        <v>22</v>
      </c>
      <c r="K275" s="16577" t="s">
        <v>22</v>
      </c>
      <c r="L275" s="16766" t="s">
        <v>22</v>
      </c>
      <c r="M275" s="16577" t="s">
        <v>22</v>
      </c>
      <c r="N275" s="16766" t="s">
        <v>22</v>
      </c>
      <c r="O275" s="29860" t="s">
        <v>22</v>
      </c>
      <c r="P275" s="29856" t="s">
        <v>22</v>
      </c>
      <c r="Q275" s="16577" t="s">
        <v>22</v>
      </c>
      <c r="R275" s="16766" t="s">
        <v>22</v>
      </c>
      <c r="S275" s="16767" t="s">
        <v>965</v>
      </c>
      <c r="T275" s="16759"/>
      <c r="U275" s="16759"/>
      <c r="V275" s="16759"/>
      <c r="W275" s="16759"/>
      <c r="X275" s="16759"/>
      <c r="Y275" s="16759"/>
      <c r="Z275" s="16759"/>
      <c r="AA275" s="16759"/>
      <c r="AB275" s="16759"/>
      <c r="AC275" s="16768"/>
      <c r="AD275" s="16759">
        <v>0</v>
      </c>
    </row>
    <row s="36556" customFormat="1" customHeight="1" ht="15">
      <c r="A276" s="16759"/>
      <c r="B276" s="16760"/>
      <c r="C276" s="16761"/>
      <c r="D276" s="16762" t="str">
        <f>B274&amp;".3"</f>
        <v>3.80.3</v>
      </c>
      <c r="E276" s="16763" t="s">
        <v>966</v>
      </c>
      <c r="F276" s="16764" t="s">
        <v>324</v>
      </c>
      <c r="G276" s="16577" t="s">
        <v>22</v>
      </c>
      <c r="H276" s="16766" t="s">
        <v>22</v>
      </c>
      <c r="I276" s="19680" t="s">
        <v>22</v>
      </c>
      <c r="J276" s="16766" t="s">
        <v>22</v>
      </c>
      <c r="K276" s="16577" t="s">
        <v>22</v>
      </c>
      <c r="L276" s="16766" t="s">
        <v>22</v>
      </c>
      <c r="M276" s="16577" t="s">
        <v>22</v>
      </c>
      <c r="N276" s="16766" t="s">
        <v>22</v>
      </c>
      <c r="O276" s="29860" t="s">
        <v>22</v>
      </c>
      <c r="P276" s="29856" t="s">
        <v>22</v>
      </c>
      <c r="Q276" s="16577" t="s">
        <v>22</v>
      </c>
      <c r="R276" s="16766" t="s">
        <v>22</v>
      </c>
      <c r="S276" s="16767" t="s">
        <v>967</v>
      </c>
      <c r="T276" s="16759"/>
      <c r="U276" s="16759"/>
      <c r="V276" s="16759"/>
      <c r="W276" s="16759"/>
      <c r="X276" s="16759"/>
      <c r="Y276" s="16759"/>
      <c r="Z276" s="16759"/>
      <c r="AA276" s="16759"/>
      <c r="AB276" s="16759"/>
      <c r="AC276" s="16768"/>
      <c r="AD276" s="16759">
        <v>0</v>
      </c>
    </row>
    <row s="36557" customFormat="1" customHeight="1" ht="22.5">
      <c r="A277" s="16759"/>
      <c r="B277" s="16760" t="s">
        <v>1060</v>
      </c>
      <c r="C277" s="16761" t="s">
        <v>103</v>
      </c>
      <c r="D277" s="16762" t="str">
        <f>B277&amp;".1"</f>
        <v>3.81.1</v>
      </c>
      <c r="E277" s="16763" t="s">
        <v>963</v>
      </c>
      <c r="F277" s="16764" t="s">
        <v>324</v>
      </c>
      <c r="G277" s="16765" t="s">
        <v>22</v>
      </c>
      <c r="H277" s="16766" t="s">
        <v>22</v>
      </c>
      <c r="I277" s="16765" t="s">
        <v>981</v>
      </c>
      <c r="J277" s="16766" t="s">
        <v>22</v>
      </c>
      <c r="K277" s="16765" t="s">
        <v>22</v>
      </c>
      <c r="L277" s="16766" t="s">
        <v>22</v>
      </c>
      <c r="M277" s="16765" t="s">
        <v>22</v>
      </c>
      <c r="N277" s="16766" t="s">
        <v>22</v>
      </c>
      <c r="O277" s="29855" t="s">
        <v>22</v>
      </c>
      <c r="P277" s="29856" t="s">
        <v>22</v>
      </c>
      <c r="Q277" s="16765" t="s">
        <v>22</v>
      </c>
      <c r="R277" s="16766" t="s">
        <v>22</v>
      </c>
      <c r="S277" s="16767"/>
      <c r="T277" s="16759"/>
      <c r="U277" s="16759"/>
      <c r="V277" s="16759"/>
      <c r="W277" s="16759"/>
      <c r="X277" s="16759"/>
      <c r="Y277" s="16759"/>
      <c r="Z277" s="16759"/>
      <c r="AA277" s="16759"/>
      <c r="AB277" s="16759"/>
      <c r="AC277" s="16768"/>
      <c r="AD277" s="16759">
        <v>0</v>
      </c>
    </row>
    <row s="36558" customFormat="1" customHeight="1" ht="15">
      <c r="A278" s="16759"/>
      <c r="B278" s="16760"/>
      <c r="C278" s="16761"/>
      <c r="D278" s="16762" t="str">
        <f>B277&amp;".2"</f>
        <v>3.81.2</v>
      </c>
      <c r="E278" s="16763" t="s">
        <v>964</v>
      </c>
      <c r="F278" s="16764" t="s">
        <v>324</v>
      </c>
      <c r="G278" s="16577" t="s">
        <v>22</v>
      </c>
      <c r="H278" s="16766" t="s">
        <v>22</v>
      </c>
      <c r="I278" s="19680">
        <v>45400</v>
      </c>
      <c r="J278" s="16766" t="s">
        <v>22</v>
      </c>
      <c r="K278" s="16577" t="s">
        <v>22</v>
      </c>
      <c r="L278" s="16766" t="s">
        <v>22</v>
      </c>
      <c r="M278" s="16577" t="s">
        <v>22</v>
      </c>
      <c r="N278" s="16766" t="s">
        <v>22</v>
      </c>
      <c r="O278" s="29860" t="s">
        <v>22</v>
      </c>
      <c r="P278" s="29856" t="s">
        <v>22</v>
      </c>
      <c r="Q278" s="16577" t="s">
        <v>22</v>
      </c>
      <c r="R278" s="16766" t="s">
        <v>22</v>
      </c>
      <c r="S278" s="16767" t="s">
        <v>965</v>
      </c>
      <c r="T278" s="16759"/>
      <c r="U278" s="16759"/>
      <c r="V278" s="16759"/>
      <c r="W278" s="16759"/>
      <c r="X278" s="16759"/>
      <c r="Y278" s="16759"/>
      <c r="Z278" s="16759"/>
      <c r="AA278" s="16759"/>
      <c r="AB278" s="16759"/>
      <c r="AC278" s="16768"/>
      <c r="AD278" s="16759">
        <v>0</v>
      </c>
    </row>
    <row s="36559" customFormat="1" customHeight="1" ht="15">
      <c r="A279" s="16759"/>
      <c r="B279" s="16760"/>
      <c r="C279" s="16761"/>
      <c r="D279" s="16762" t="str">
        <f>B277&amp;".3"</f>
        <v>3.81.3</v>
      </c>
      <c r="E279" s="16763" t="s">
        <v>966</v>
      </c>
      <c r="F279" s="16764" t="s">
        <v>324</v>
      </c>
      <c r="G279" s="16577" t="s">
        <v>22</v>
      </c>
      <c r="H279" s="16766" t="s">
        <v>22</v>
      </c>
      <c r="I279" s="19680" t="s">
        <v>22</v>
      </c>
      <c r="J279" s="16766" t="s">
        <v>22</v>
      </c>
      <c r="K279" s="16577" t="s">
        <v>22</v>
      </c>
      <c r="L279" s="16766" t="s">
        <v>22</v>
      </c>
      <c r="M279" s="16577" t="s">
        <v>22</v>
      </c>
      <c r="N279" s="16766" t="s">
        <v>22</v>
      </c>
      <c r="O279" s="29860" t="s">
        <v>22</v>
      </c>
      <c r="P279" s="29856" t="s">
        <v>22</v>
      </c>
      <c r="Q279" s="16577" t="s">
        <v>22</v>
      </c>
      <c r="R279" s="16766" t="s">
        <v>22</v>
      </c>
      <c r="S279" s="16767" t="s">
        <v>967</v>
      </c>
      <c r="T279" s="16759"/>
      <c r="U279" s="16759"/>
      <c r="V279" s="16759"/>
      <c r="W279" s="16759"/>
      <c r="X279" s="16759"/>
      <c r="Y279" s="16759"/>
      <c r="Z279" s="16759"/>
      <c r="AA279" s="16759"/>
      <c r="AB279" s="16759"/>
      <c r="AC279" s="16768"/>
      <c r="AD279" s="16759">
        <v>0</v>
      </c>
    </row>
    <row s="36560" customFormat="1" customHeight="1" ht="22.5">
      <c r="A280" s="16759"/>
      <c r="B280" s="16760" t="s">
        <v>1061</v>
      </c>
      <c r="C280" s="16761" t="s">
        <v>103</v>
      </c>
      <c r="D280" s="16762" t="str">
        <f>B280&amp;".1"</f>
        <v>3.82.1</v>
      </c>
      <c r="E280" s="16763" t="s">
        <v>963</v>
      </c>
      <c r="F280" s="16764" t="s">
        <v>324</v>
      </c>
      <c r="G280" s="16765" t="s">
        <v>22</v>
      </c>
      <c r="H280" s="16766" t="s">
        <v>22</v>
      </c>
      <c r="I280" s="16765" t="s">
        <v>981</v>
      </c>
      <c r="J280" s="16766" t="s">
        <v>22</v>
      </c>
      <c r="K280" s="16765" t="s">
        <v>22</v>
      </c>
      <c r="L280" s="16766" t="s">
        <v>22</v>
      </c>
      <c r="M280" s="16765" t="s">
        <v>22</v>
      </c>
      <c r="N280" s="16766" t="s">
        <v>22</v>
      </c>
      <c r="O280" s="29855" t="s">
        <v>22</v>
      </c>
      <c r="P280" s="29856" t="s">
        <v>22</v>
      </c>
      <c r="Q280" s="16765" t="s">
        <v>22</v>
      </c>
      <c r="R280" s="16766" t="s">
        <v>22</v>
      </c>
      <c r="S280" s="16767"/>
      <c r="T280" s="16759"/>
      <c r="U280" s="16759"/>
      <c r="V280" s="16759"/>
      <c r="W280" s="16759"/>
      <c r="X280" s="16759"/>
      <c r="Y280" s="16759"/>
      <c r="Z280" s="16759"/>
      <c r="AA280" s="16759"/>
      <c r="AB280" s="16759"/>
      <c r="AC280" s="16768"/>
      <c r="AD280" s="16759">
        <v>0</v>
      </c>
    </row>
    <row s="36561" customFormat="1" customHeight="1" ht="15">
      <c r="A281" s="16759"/>
      <c r="B281" s="16760"/>
      <c r="C281" s="16761"/>
      <c r="D281" s="16762" t="str">
        <f>B280&amp;".2"</f>
        <v>3.82.2</v>
      </c>
      <c r="E281" s="16763" t="s">
        <v>964</v>
      </c>
      <c r="F281" s="16764" t="s">
        <v>324</v>
      </c>
      <c r="G281" s="16577" t="s">
        <v>22</v>
      </c>
      <c r="H281" s="16766" t="s">
        <v>22</v>
      </c>
      <c r="I281" s="19680">
        <v>45400</v>
      </c>
      <c r="J281" s="16766" t="s">
        <v>22</v>
      </c>
      <c r="K281" s="16577" t="s">
        <v>22</v>
      </c>
      <c r="L281" s="16766" t="s">
        <v>22</v>
      </c>
      <c r="M281" s="16577" t="s">
        <v>22</v>
      </c>
      <c r="N281" s="16766" t="s">
        <v>22</v>
      </c>
      <c r="O281" s="29860" t="s">
        <v>22</v>
      </c>
      <c r="P281" s="29856" t="s">
        <v>22</v>
      </c>
      <c r="Q281" s="16577" t="s">
        <v>22</v>
      </c>
      <c r="R281" s="16766" t="s">
        <v>22</v>
      </c>
      <c r="S281" s="16767" t="s">
        <v>965</v>
      </c>
      <c r="T281" s="16759"/>
      <c r="U281" s="16759"/>
      <c r="V281" s="16759"/>
      <c r="W281" s="16759"/>
      <c r="X281" s="16759"/>
      <c r="Y281" s="16759"/>
      <c r="Z281" s="16759"/>
      <c r="AA281" s="16759"/>
      <c r="AB281" s="16759"/>
      <c r="AC281" s="16768"/>
      <c r="AD281" s="16759">
        <v>0</v>
      </c>
    </row>
    <row s="36562" customFormat="1" customHeight="1" ht="15">
      <c r="A282" s="16759"/>
      <c r="B282" s="16760"/>
      <c r="C282" s="16761"/>
      <c r="D282" s="16762" t="str">
        <f>B280&amp;".3"</f>
        <v>3.82.3</v>
      </c>
      <c r="E282" s="16763" t="s">
        <v>966</v>
      </c>
      <c r="F282" s="16764" t="s">
        <v>324</v>
      </c>
      <c r="G282" s="16577" t="s">
        <v>22</v>
      </c>
      <c r="H282" s="16766" t="s">
        <v>22</v>
      </c>
      <c r="I282" s="19680" t="s">
        <v>22</v>
      </c>
      <c r="J282" s="16766" t="s">
        <v>22</v>
      </c>
      <c r="K282" s="16577" t="s">
        <v>22</v>
      </c>
      <c r="L282" s="16766" t="s">
        <v>22</v>
      </c>
      <c r="M282" s="16577" t="s">
        <v>22</v>
      </c>
      <c r="N282" s="16766" t="s">
        <v>22</v>
      </c>
      <c r="O282" s="29860" t="s">
        <v>22</v>
      </c>
      <c r="P282" s="29856" t="s">
        <v>22</v>
      </c>
      <c r="Q282" s="16577" t="s">
        <v>22</v>
      </c>
      <c r="R282" s="16766" t="s">
        <v>22</v>
      </c>
      <c r="S282" s="16767" t="s">
        <v>967</v>
      </c>
      <c r="T282" s="16759"/>
      <c r="U282" s="16759"/>
      <c r="V282" s="16759"/>
      <c r="W282" s="16759"/>
      <c r="X282" s="16759"/>
      <c r="Y282" s="16759"/>
      <c r="Z282" s="16759"/>
      <c r="AA282" s="16759"/>
      <c r="AB282" s="16759"/>
      <c r="AC282" s="16768"/>
      <c r="AD282" s="16759">
        <v>0</v>
      </c>
    </row>
    <row s="36563" customFormat="1" customHeight="1" ht="22.5">
      <c r="A283" s="16759"/>
      <c r="B283" s="16760" t="s">
        <v>1062</v>
      </c>
      <c r="C283" s="16761" t="s">
        <v>103</v>
      </c>
      <c r="D283" s="16762" t="str">
        <f>B283&amp;".1"</f>
        <v>3.83.1</v>
      </c>
      <c r="E283" s="16763" t="s">
        <v>963</v>
      </c>
      <c r="F283" s="16764" t="s">
        <v>324</v>
      </c>
      <c r="G283" s="16765" t="s">
        <v>22</v>
      </c>
      <c r="H283" s="16766" t="s">
        <v>22</v>
      </c>
      <c r="I283" s="16765" t="s">
        <v>981</v>
      </c>
      <c r="J283" s="16766" t="s">
        <v>22</v>
      </c>
      <c r="K283" s="16765" t="s">
        <v>22</v>
      </c>
      <c r="L283" s="16766" t="s">
        <v>22</v>
      </c>
      <c r="M283" s="16765" t="s">
        <v>22</v>
      </c>
      <c r="N283" s="16766" t="s">
        <v>22</v>
      </c>
      <c r="O283" s="29855" t="s">
        <v>22</v>
      </c>
      <c r="P283" s="29856" t="s">
        <v>22</v>
      </c>
      <c r="Q283" s="16765" t="s">
        <v>22</v>
      </c>
      <c r="R283" s="16766" t="s">
        <v>22</v>
      </c>
      <c r="S283" s="16767"/>
      <c r="T283" s="16759"/>
      <c r="U283" s="16759"/>
      <c r="V283" s="16759"/>
      <c r="W283" s="16759"/>
      <c r="X283" s="16759"/>
      <c r="Y283" s="16759"/>
      <c r="Z283" s="16759"/>
      <c r="AA283" s="16759"/>
      <c r="AB283" s="16759"/>
      <c r="AC283" s="16768"/>
      <c r="AD283" s="16759">
        <v>0</v>
      </c>
    </row>
    <row s="36564" customFormat="1" customHeight="1" ht="15">
      <c r="A284" s="16759"/>
      <c r="B284" s="16760"/>
      <c r="C284" s="16761"/>
      <c r="D284" s="16762" t="str">
        <f>B283&amp;".2"</f>
        <v>3.83.2</v>
      </c>
      <c r="E284" s="16763" t="s">
        <v>964</v>
      </c>
      <c r="F284" s="16764" t="s">
        <v>324</v>
      </c>
      <c r="G284" s="16577" t="s">
        <v>22</v>
      </c>
      <c r="H284" s="16766" t="s">
        <v>22</v>
      </c>
      <c r="I284" s="19680">
        <v>45401</v>
      </c>
      <c r="J284" s="16766" t="s">
        <v>22</v>
      </c>
      <c r="K284" s="16577" t="s">
        <v>22</v>
      </c>
      <c r="L284" s="16766" t="s">
        <v>22</v>
      </c>
      <c r="M284" s="16577" t="s">
        <v>22</v>
      </c>
      <c r="N284" s="16766" t="s">
        <v>22</v>
      </c>
      <c r="O284" s="29860" t="s">
        <v>22</v>
      </c>
      <c r="P284" s="29856" t="s">
        <v>22</v>
      </c>
      <c r="Q284" s="16577" t="s">
        <v>22</v>
      </c>
      <c r="R284" s="16766" t="s">
        <v>22</v>
      </c>
      <c r="S284" s="16767" t="s">
        <v>965</v>
      </c>
      <c r="T284" s="16759"/>
      <c r="U284" s="16759"/>
      <c r="V284" s="16759"/>
      <c r="W284" s="16759"/>
      <c r="X284" s="16759"/>
      <c r="Y284" s="16759"/>
      <c r="Z284" s="16759"/>
      <c r="AA284" s="16759"/>
      <c r="AB284" s="16759"/>
      <c r="AC284" s="16768"/>
      <c r="AD284" s="16759">
        <v>0</v>
      </c>
    </row>
    <row s="36565" customFormat="1" customHeight="1" ht="15">
      <c r="A285" s="16759"/>
      <c r="B285" s="16760"/>
      <c r="C285" s="16761"/>
      <c r="D285" s="16762" t="str">
        <f>B283&amp;".3"</f>
        <v>3.83.3</v>
      </c>
      <c r="E285" s="16763" t="s">
        <v>966</v>
      </c>
      <c r="F285" s="16764" t="s">
        <v>324</v>
      </c>
      <c r="G285" s="16577" t="s">
        <v>22</v>
      </c>
      <c r="H285" s="16766" t="s">
        <v>22</v>
      </c>
      <c r="I285" s="19680" t="s">
        <v>22</v>
      </c>
      <c r="J285" s="16766" t="s">
        <v>22</v>
      </c>
      <c r="K285" s="16577" t="s">
        <v>22</v>
      </c>
      <c r="L285" s="16766" t="s">
        <v>22</v>
      </c>
      <c r="M285" s="16577" t="s">
        <v>22</v>
      </c>
      <c r="N285" s="16766" t="s">
        <v>22</v>
      </c>
      <c r="O285" s="29860" t="s">
        <v>22</v>
      </c>
      <c r="P285" s="29856" t="s">
        <v>22</v>
      </c>
      <c r="Q285" s="16577" t="s">
        <v>22</v>
      </c>
      <c r="R285" s="16766" t="s">
        <v>22</v>
      </c>
      <c r="S285" s="16767" t="s">
        <v>967</v>
      </c>
      <c r="T285" s="16759"/>
      <c r="U285" s="16759"/>
      <c r="V285" s="16759"/>
      <c r="W285" s="16759"/>
      <c r="X285" s="16759"/>
      <c r="Y285" s="16759"/>
      <c r="Z285" s="16759"/>
      <c r="AA285" s="16759"/>
      <c r="AB285" s="16759"/>
      <c r="AC285" s="16768"/>
      <c r="AD285" s="16759">
        <v>0</v>
      </c>
    </row>
    <row s="36566" customFormat="1" customHeight="1" ht="22.5">
      <c r="A286" s="16759"/>
      <c r="B286" s="16760" t="s">
        <v>1063</v>
      </c>
      <c r="C286" s="16761" t="s">
        <v>103</v>
      </c>
      <c r="D286" s="16762" t="str">
        <f>B286&amp;".1"</f>
        <v>3.84.1</v>
      </c>
      <c r="E286" s="16763" t="s">
        <v>963</v>
      </c>
      <c r="F286" s="16764" t="s">
        <v>324</v>
      </c>
      <c r="G286" s="16765" t="s">
        <v>22</v>
      </c>
      <c r="H286" s="16766" t="s">
        <v>22</v>
      </c>
      <c r="I286" s="16765" t="s">
        <v>1064</v>
      </c>
      <c r="J286" s="16766" t="s">
        <v>22</v>
      </c>
      <c r="K286" s="16765" t="s">
        <v>22</v>
      </c>
      <c r="L286" s="16766" t="s">
        <v>22</v>
      </c>
      <c r="M286" s="16765" t="s">
        <v>22</v>
      </c>
      <c r="N286" s="16766" t="s">
        <v>22</v>
      </c>
      <c r="O286" s="29855" t="s">
        <v>22</v>
      </c>
      <c r="P286" s="29856" t="s">
        <v>22</v>
      </c>
      <c r="Q286" s="16765" t="s">
        <v>22</v>
      </c>
      <c r="R286" s="16766" t="s">
        <v>22</v>
      </c>
      <c r="S286" s="16767"/>
      <c r="T286" s="16759"/>
      <c r="U286" s="16759"/>
      <c r="V286" s="16759"/>
      <c r="W286" s="16759"/>
      <c r="X286" s="16759"/>
      <c r="Y286" s="16759"/>
      <c r="Z286" s="16759"/>
      <c r="AA286" s="16759"/>
      <c r="AB286" s="16759"/>
      <c r="AC286" s="16768"/>
      <c r="AD286" s="16759">
        <v>0</v>
      </c>
    </row>
    <row s="36567" customFormat="1" customHeight="1" ht="15">
      <c r="A287" s="16759"/>
      <c r="B287" s="16760"/>
      <c r="C287" s="16761"/>
      <c r="D287" s="16762" t="str">
        <f>B286&amp;".2"</f>
        <v>3.84.2</v>
      </c>
      <c r="E287" s="16763" t="s">
        <v>964</v>
      </c>
      <c r="F287" s="16764" t="s">
        <v>324</v>
      </c>
      <c r="G287" s="16577" t="s">
        <v>22</v>
      </c>
      <c r="H287" s="16766" t="s">
        <v>22</v>
      </c>
      <c r="I287" s="19680">
        <v>45401</v>
      </c>
      <c r="J287" s="16766" t="s">
        <v>22</v>
      </c>
      <c r="K287" s="16577" t="s">
        <v>22</v>
      </c>
      <c r="L287" s="16766" t="s">
        <v>22</v>
      </c>
      <c r="M287" s="16577" t="s">
        <v>22</v>
      </c>
      <c r="N287" s="16766" t="s">
        <v>22</v>
      </c>
      <c r="O287" s="29860" t="s">
        <v>22</v>
      </c>
      <c r="P287" s="29856" t="s">
        <v>22</v>
      </c>
      <c r="Q287" s="16577" t="s">
        <v>22</v>
      </c>
      <c r="R287" s="16766" t="s">
        <v>22</v>
      </c>
      <c r="S287" s="16767" t="s">
        <v>965</v>
      </c>
      <c r="T287" s="16759"/>
      <c r="U287" s="16759"/>
      <c r="V287" s="16759"/>
      <c r="W287" s="16759"/>
      <c r="X287" s="16759"/>
      <c r="Y287" s="16759"/>
      <c r="Z287" s="16759"/>
      <c r="AA287" s="16759"/>
      <c r="AB287" s="16759"/>
      <c r="AC287" s="16768"/>
      <c r="AD287" s="16759">
        <v>0</v>
      </c>
    </row>
    <row s="36568" customFormat="1" customHeight="1" ht="15">
      <c r="A288" s="16759"/>
      <c r="B288" s="16760"/>
      <c r="C288" s="16761"/>
      <c r="D288" s="16762" t="str">
        <f>B286&amp;".3"</f>
        <v>3.84.3</v>
      </c>
      <c r="E288" s="16763" t="s">
        <v>966</v>
      </c>
      <c r="F288" s="16764" t="s">
        <v>324</v>
      </c>
      <c r="G288" s="16577" t="s">
        <v>22</v>
      </c>
      <c r="H288" s="16766" t="s">
        <v>22</v>
      </c>
      <c r="I288" s="19680" t="s">
        <v>22</v>
      </c>
      <c r="J288" s="16766" t="s">
        <v>22</v>
      </c>
      <c r="K288" s="16577" t="s">
        <v>22</v>
      </c>
      <c r="L288" s="16766" t="s">
        <v>22</v>
      </c>
      <c r="M288" s="16577" t="s">
        <v>22</v>
      </c>
      <c r="N288" s="16766" t="s">
        <v>22</v>
      </c>
      <c r="O288" s="29860" t="s">
        <v>22</v>
      </c>
      <c r="P288" s="29856" t="s">
        <v>22</v>
      </c>
      <c r="Q288" s="16577" t="s">
        <v>22</v>
      </c>
      <c r="R288" s="16766" t="s">
        <v>22</v>
      </c>
      <c r="S288" s="16767" t="s">
        <v>967</v>
      </c>
      <c r="T288" s="16759"/>
      <c r="U288" s="16759"/>
      <c r="V288" s="16759"/>
      <c r="W288" s="16759"/>
      <c r="X288" s="16759"/>
      <c r="Y288" s="16759"/>
      <c r="Z288" s="16759"/>
      <c r="AA288" s="16759"/>
      <c r="AB288" s="16759"/>
      <c r="AC288" s="16768"/>
      <c r="AD288" s="16759">
        <v>0</v>
      </c>
    </row>
    <row s="36569" customFormat="1" customHeight="1" ht="22.5">
      <c r="A289" s="16759"/>
      <c r="B289" s="16760" t="s">
        <v>1065</v>
      </c>
      <c r="C289" s="16761" t="s">
        <v>103</v>
      </c>
      <c r="D289" s="16762" t="str">
        <f>B289&amp;".1"</f>
        <v>3.85.1</v>
      </c>
      <c r="E289" s="16763" t="s">
        <v>963</v>
      </c>
      <c r="F289" s="16764" t="s">
        <v>324</v>
      </c>
      <c r="G289" s="16765" t="s">
        <v>22</v>
      </c>
      <c r="H289" s="16766" t="s">
        <v>22</v>
      </c>
      <c r="I289" s="16765" t="s">
        <v>1064</v>
      </c>
      <c r="J289" s="16766" t="s">
        <v>22</v>
      </c>
      <c r="K289" s="16765" t="s">
        <v>22</v>
      </c>
      <c r="L289" s="16766" t="s">
        <v>22</v>
      </c>
      <c r="M289" s="16765" t="s">
        <v>22</v>
      </c>
      <c r="N289" s="16766" t="s">
        <v>22</v>
      </c>
      <c r="O289" s="29855" t="s">
        <v>22</v>
      </c>
      <c r="P289" s="29856" t="s">
        <v>22</v>
      </c>
      <c r="Q289" s="16765" t="s">
        <v>22</v>
      </c>
      <c r="R289" s="16766" t="s">
        <v>22</v>
      </c>
      <c r="S289" s="16767"/>
      <c r="T289" s="16759"/>
      <c r="U289" s="16759"/>
      <c r="V289" s="16759"/>
      <c r="W289" s="16759"/>
      <c r="X289" s="16759"/>
      <c r="Y289" s="16759"/>
      <c r="Z289" s="16759"/>
      <c r="AA289" s="16759"/>
      <c r="AB289" s="16759"/>
      <c r="AC289" s="16768"/>
      <c r="AD289" s="16759">
        <v>0</v>
      </c>
    </row>
    <row s="36570" customFormat="1" customHeight="1" ht="15">
      <c r="A290" s="16759"/>
      <c r="B290" s="16760"/>
      <c r="C290" s="16761"/>
      <c r="D290" s="16762" t="str">
        <f>B289&amp;".2"</f>
        <v>3.85.2</v>
      </c>
      <c r="E290" s="16763" t="s">
        <v>964</v>
      </c>
      <c r="F290" s="16764" t="s">
        <v>324</v>
      </c>
      <c r="G290" s="16577" t="s">
        <v>22</v>
      </c>
      <c r="H290" s="16766" t="s">
        <v>22</v>
      </c>
      <c r="I290" s="19680">
        <v>45401</v>
      </c>
      <c r="J290" s="16766" t="s">
        <v>22</v>
      </c>
      <c r="K290" s="16577" t="s">
        <v>22</v>
      </c>
      <c r="L290" s="16766" t="s">
        <v>22</v>
      </c>
      <c r="M290" s="16577" t="s">
        <v>22</v>
      </c>
      <c r="N290" s="16766" t="s">
        <v>22</v>
      </c>
      <c r="O290" s="29860" t="s">
        <v>22</v>
      </c>
      <c r="P290" s="29856" t="s">
        <v>22</v>
      </c>
      <c r="Q290" s="16577" t="s">
        <v>22</v>
      </c>
      <c r="R290" s="16766" t="s">
        <v>22</v>
      </c>
      <c r="S290" s="16767" t="s">
        <v>965</v>
      </c>
      <c r="T290" s="16759"/>
      <c r="U290" s="16759"/>
      <c r="V290" s="16759"/>
      <c r="W290" s="16759"/>
      <c r="X290" s="16759"/>
      <c r="Y290" s="16759"/>
      <c r="Z290" s="16759"/>
      <c r="AA290" s="16759"/>
      <c r="AB290" s="16759"/>
      <c r="AC290" s="16768"/>
      <c r="AD290" s="16759">
        <v>0</v>
      </c>
    </row>
    <row s="36571" customFormat="1" customHeight="1" ht="15">
      <c r="A291" s="16759"/>
      <c r="B291" s="16760"/>
      <c r="C291" s="16761"/>
      <c r="D291" s="16762" t="str">
        <f>B289&amp;".3"</f>
        <v>3.85.3</v>
      </c>
      <c r="E291" s="16763" t="s">
        <v>966</v>
      </c>
      <c r="F291" s="16764" t="s">
        <v>324</v>
      </c>
      <c r="G291" s="16577" t="s">
        <v>22</v>
      </c>
      <c r="H291" s="16766" t="s">
        <v>22</v>
      </c>
      <c r="I291" s="19680" t="s">
        <v>22</v>
      </c>
      <c r="J291" s="16766" t="s">
        <v>22</v>
      </c>
      <c r="K291" s="16577" t="s">
        <v>22</v>
      </c>
      <c r="L291" s="16766" t="s">
        <v>22</v>
      </c>
      <c r="M291" s="16577" t="s">
        <v>22</v>
      </c>
      <c r="N291" s="16766" t="s">
        <v>22</v>
      </c>
      <c r="O291" s="29860" t="s">
        <v>22</v>
      </c>
      <c r="P291" s="29856" t="s">
        <v>22</v>
      </c>
      <c r="Q291" s="16577" t="s">
        <v>22</v>
      </c>
      <c r="R291" s="16766" t="s">
        <v>22</v>
      </c>
      <c r="S291" s="16767" t="s">
        <v>967</v>
      </c>
      <c r="T291" s="16759"/>
      <c r="U291" s="16759"/>
      <c r="V291" s="16759"/>
      <c r="W291" s="16759"/>
      <c r="X291" s="16759"/>
      <c r="Y291" s="16759"/>
      <c r="Z291" s="16759"/>
      <c r="AA291" s="16759"/>
      <c r="AB291" s="16759"/>
      <c r="AC291" s="16768"/>
      <c r="AD291" s="16759">
        <v>0</v>
      </c>
    </row>
    <row s="36572" customFormat="1" customHeight="1" ht="22.5">
      <c r="A292" s="16759"/>
      <c r="B292" s="16760" t="s">
        <v>1066</v>
      </c>
      <c r="C292" s="16761" t="s">
        <v>103</v>
      </c>
      <c r="D292" s="16762" t="str">
        <f>B292&amp;".1"</f>
        <v>3.86.1</v>
      </c>
      <c r="E292" s="16763" t="s">
        <v>963</v>
      </c>
      <c r="F292" s="16764" t="s">
        <v>324</v>
      </c>
      <c r="G292" s="16765" t="s">
        <v>22</v>
      </c>
      <c r="H292" s="16766" t="s">
        <v>22</v>
      </c>
      <c r="I292" s="16765" t="s">
        <v>1064</v>
      </c>
      <c r="J292" s="16766" t="s">
        <v>22</v>
      </c>
      <c r="K292" s="16765" t="s">
        <v>22</v>
      </c>
      <c r="L292" s="16766" t="s">
        <v>22</v>
      </c>
      <c r="M292" s="16765" t="s">
        <v>22</v>
      </c>
      <c r="N292" s="16766" t="s">
        <v>22</v>
      </c>
      <c r="O292" s="29855" t="s">
        <v>22</v>
      </c>
      <c r="P292" s="29856" t="s">
        <v>22</v>
      </c>
      <c r="Q292" s="16765" t="s">
        <v>22</v>
      </c>
      <c r="R292" s="16766" t="s">
        <v>22</v>
      </c>
      <c r="S292" s="16767"/>
      <c r="T292" s="16759"/>
      <c r="U292" s="16759"/>
      <c r="V292" s="16759"/>
      <c r="W292" s="16759"/>
      <c r="X292" s="16759"/>
      <c r="Y292" s="16759"/>
      <c r="Z292" s="16759"/>
      <c r="AA292" s="16759"/>
      <c r="AB292" s="16759"/>
      <c r="AC292" s="16768"/>
      <c r="AD292" s="16759">
        <v>0</v>
      </c>
    </row>
    <row s="36573" customFormat="1" customHeight="1" ht="15">
      <c r="A293" s="16759"/>
      <c r="B293" s="16760"/>
      <c r="C293" s="16761"/>
      <c r="D293" s="16762" t="str">
        <f>B292&amp;".2"</f>
        <v>3.86.2</v>
      </c>
      <c r="E293" s="16763" t="s">
        <v>964</v>
      </c>
      <c r="F293" s="16764" t="s">
        <v>324</v>
      </c>
      <c r="G293" s="16577" t="s">
        <v>22</v>
      </c>
      <c r="H293" s="16766" t="s">
        <v>22</v>
      </c>
      <c r="I293" s="19680">
        <v>45401</v>
      </c>
      <c r="J293" s="16766" t="s">
        <v>22</v>
      </c>
      <c r="K293" s="16577" t="s">
        <v>22</v>
      </c>
      <c r="L293" s="16766" t="s">
        <v>22</v>
      </c>
      <c r="M293" s="16577" t="s">
        <v>22</v>
      </c>
      <c r="N293" s="16766" t="s">
        <v>22</v>
      </c>
      <c r="O293" s="29860" t="s">
        <v>22</v>
      </c>
      <c r="P293" s="29856" t="s">
        <v>22</v>
      </c>
      <c r="Q293" s="16577" t="s">
        <v>22</v>
      </c>
      <c r="R293" s="16766" t="s">
        <v>22</v>
      </c>
      <c r="S293" s="16767" t="s">
        <v>965</v>
      </c>
      <c r="T293" s="16759"/>
      <c r="U293" s="16759"/>
      <c r="V293" s="16759"/>
      <c r="W293" s="16759"/>
      <c r="X293" s="16759"/>
      <c r="Y293" s="16759"/>
      <c r="Z293" s="16759"/>
      <c r="AA293" s="16759"/>
      <c r="AB293" s="16759"/>
      <c r="AC293" s="16768"/>
      <c r="AD293" s="16759">
        <v>0</v>
      </c>
    </row>
    <row s="36574" customFormat="1" customHeight="1" ht="15">
      <c r="A294" s="16759"/>
      <c r="B294" s="16760"/>
      <c r="C294" s="16761"/>
      <c r="D294" s="16762" t="str">
        <f>B292&amp;".3"</f>
        <v>3.86.3</v>
      </c>
      <c r="E294" s="16763" t="s">
        <v>966</v>
      </c>
      <c r="F294" s="16764" t="s">
        <v>324</v>
      </c>
      <c r="G294" s="16577" t="s">
        <v>22</v>
      </c>
      <c r="H294" s="16766" t="s">
        <v>22</v>
      </c>
      <c r="I294" s="19680" t="s">
        <v>22</v>
      </c>
      <c r="J294" s="16766" t="s">
        <v>22</v>
      </c>
      <c r="K294" s="16577" t="s">
        <v>22</v>
      </c>
      <c r="L294" s="16766" t="s">
        <v>22</v>
      </c>
      <c r="M294" s="16577" t="s">
        <v>22</v>
      </c>
      <c r="N294" s="16766" t="s">
        <v>22</v>
      </c>
      <c r="O294" s="29860" t="s">
        <v>22</v>
      </c>
      <c r="P294" s="29856" t="s">
        <v>22</v>
      </c>
      <c r="Q294" s="16577" t="s">
        <v>22</v>
      </c>
      <c r="R294" s="16766" t="s">
        <v>22</v>
      </c>
      <c r="S294" s="16767" t="s">
        <v>967</v>
      </c>
      <c r="T294" s="16759"/>
      <c r="U294" s="16759"/>
      <c r="V294" s="16759"/>
      <c r="W294" s="16759"/>
      <c r="X294" s="16759"/>
      <c r="Y294" s="16759"/>
      <c r="Z294" s="16759"/>
      <c r="AA294" s="16759"/>
      <c r="AB294" s="16759"/>
      <c r="AC294" s="16768"/>
      <c r="AD294" s="16759">
        <v>0</v>
      </c>
    </row>
    <row s="36575" customFormat="1" customHeight="1" ht="22.5">
      <c r="A295" s="16759"/>
      <c r="B295" s="16760" t="s">
        <v>1067</v>
      </c>
      <c r="C295" s="16761" t="s">
        <v>103</v>
      </c>
      <c r="D295" s="16762" t="str">
        <f>B295&amp;".1"</f>
        <v>3.87.1</v>
      </c>
      <c r="E295" s="16763" t="s">
        <v>963</v>
      </c>
      <c r="F295" s="16764" t="s">
        <v>324</v>
      </c>
      <c r="G295" s="16765" t="s">
        <v>22</v>
      </c>
      <c r="H295" s="16766" t="s">
        <v>22</v>
      </c>
      <c r="I295" s="16765" t="s">
        <v>1064</v>
      </c>
      <c r="J295" s="16766" t="s">
        <v>22</v>
      </c>
      <c r="K295" s="16765" t="s">
        <v>22</v>
      </c>
      <c r="L295" s="16766" t="s">
        <v>22</v>
      </c>
      <c r="M295" s="16765" t="s">
        <v>22</v>
      </c>
      <c r="N295" s="16766" t="s">
        <v>22</v>
      </c>
      <c r="O295" s="29855" t="s">
        <v>22</v>
      </c>
      <c r="P295" s="29856" t="s">
        <v>22</v>
      </c>
      <c r="Q295" s="16765" t="s">
        <v>22</v>
      </c>
      <c r="R295" s="16766" t="s">
        <v>22</v>
      </c>
      <c r="S295" s="16767"/>
      <c r="T295" s="16759"/>
      <c r="U295" s="16759"/>
      <c r="V295" s="16759"/>
      <c r="W295" s="16759"/>
      <c r="X295" s="16759"/>
      <c r="Y295" s="16759"/>
      <c r="Z295" s="16759"/>
      <c r="AA295" s="16759"/>
      <c r="AB295" s="16759"/>
      <c r="AC295" s="16768"/>
      <c r="AD295" s="16759">
        <v>0</v>
      </c>
    </row>
    <row s="36576" customFormat="1" customHeight="1" ht="15">
      <c r="A296" s="16759"/>
      <c r="B296" s="16760"/>
      <c r="C296" s="16761"/>
      <c r="D296" s="16762" t="str">
        <f>B295&amp;".2"</f>
        <v>3.87.2</v>
      </c>
      <c r="E296" s="16763" t="s">
        <v>964</v>
      </c>
      <c r="F296" s="16764" t="s">
        <v>324</v>
      </c>
      <c r="G296" s="16577" t="s">
        <v>22</v>
      </c>
      <c r="H296" s="16766" t="s">
        <v>22</v>
      </c>
      <c r="I296" s="19680">
        <v>45401</v>
      </c>
      <c r="J296" s="16766" t="s">
        <v>22</v>
      </c>
      <c r="K296" s="16577" t="s">
        <v>22</v>
      </c>
      <c r="L296" s="16766" t="s">
        <v>22</v>
      </c>
      <c r="M296" s="16577" t="s">
        <v>22</v>
      </c>
      <c r="N296" s="16766" t="s">
        <v>22</v>
      </c>
      <c r="O296" s="29860" t="s">
        <v>22</v>
      </c>
      <c r="P296" s="29856" t="s">
        <v>22</v>
      </c>
      <c r="Q296" s="16577" t="s">
        <v>22</v>
      </c>
      <c r="R296" s="16766" t="s">
        <v>22</v>
      </c>
      <c r="S296" s="16767" t="s">
        <v>965</v>
      </c>
      <c r="T296" s="16759"/>
      <c r="U296" s="16759"/>
      <c r="V296" s="16759"/>
      <c r="W296" s="16759"/>
      <c r="X296" s="16759"/>
      <c r="Y296" s="16759"/>
      <c r="Z296" s="16759"/>
      <c r="AA296" s="16759"/>
      <c r="AB296" s="16759"/>
      <c r="AC296" s="16768"/>
      <c r="AD296" s="16759">
        <v>0</v>
      </c>
    </row>
    <row s="36577" customFormat="1" customHeight="1" ht="15">
      <c r="A297" s="16759"/>
      <c r="B297" s="16760"/>
      <c r="C297" s="16761"/>
      <c r="D297" s="16762" t="str">
        <f>B295&amp;".3"</f>
        <v>3.87.3</v>
      </c>
      <c r="E297" s="16763" t="s">
        <v>966</v>
      </c>
      <c r="F297" s="16764" t="s">
        <v>324</v>
      </c>
      <c r="G297" s="16577" t="s">
        <v>22</v>
      </c>
      <c r="H297" s="16766" t="s">
        <v>22</v>
      </c>
      <c r="I297" s="19680" t="s">
        <v>22</v>
      </c>
      <c r="J297" s="16766" t="s">
        <v>22</v>
      </c>
      <c r="K297" s="16577" t="s">
        <v>22</v>
      </c>
      <c r="L297" s="16766" t="s">
        <v>22</v>
      </c>
      <c r="M297" s="16577" t="s">
        <v>22</v>
      </c>
      <c r="N297" s="16766" t="s">
        <v>22</v>
      </c>
      <c r="O297" s="29860" t="s">
        <v>22</v>
      </c>
      <c r="P297" s="29856" t="s">
        <v>22</v>
      </c>
      <c r="Q297" s="16577" t="s">
        <v>22</v>
      </c>
      <c r="R297" s="16766" t="s">
        <v>22</v>
      </c>
      <c r="S297" s="16767" t="s">
        <v>967</v>
      </c>
      <c r="T297" s="16759"/>
      <c r="U297" s="16759"/>
      <c r="V297" s="16759"/>
      <c r="W297" s="16759"/>
      <c r="X297" s="16759"/>
      <c r="Y297" s="16759"/>
      <c r="Z297" s="16759"/>
      <c r="AA297" s="16759"/>
      <c r="AB297" s="16759"/>
      <c r="AC297" s="16768"/>
      <c r="AD297" s="16759">
        <v>0</v>
      </c>
    </row>
    <row s="36578" customFormat="1" customHeight="1" ht="22.5">
      <c r="A298" s="16759"/>
      <c r="B298" s="16760" t="s">
        <v>1068</v>
      </c>
      <c r="C298" s="16761" t="s">
        <v>103</v>
      </c>
      <c r="D298" s="16762" t="str">
        <f>B298&amp;".1"</f>
        <v>3.88.1</v>
      </c>
      <c r="E298" s="16763" t="s">
        <v>963</v>
      </c>
      <c r="F298" s="16764" t="s">
        <v>324</v>
      </c>
      <c r="G298" s="16765" t="s">
        <v>22</v>
      </c>
      <c r="H298" s="16766" t="s">
        <v>22</v>
      </c>
      <c r="I298" s="16765" t="s">
        <v>1064</v>
      </c>
      <c r="J298" s="16766" t="s">
        <v>22</v>
      </c>
      <c r="K298" s="16765" t="s">
        <v>22</v>
      </c>
      <c r="L298" s="16766" t="s">
        <v>22</v>
      </c>
      <c r="M298" s="16765" t="s">
        <v>22</v>
      </c>
      <c r="N298" s="16766" t="s">
        <v>22</v>
      </c>
      <c r="O298" s="29855" t="s">
        <v>22</v>
      </c>
      <c r="P298" s="29856" t="s">
        <v>22</v>
      </c>
      <c r="Q298" s="16765" t="s">
        <v>22</v>
      </c>
      <c r="R298" s="16766" t="s">
        <v>22</v>
      </c>
      <c r="S298" s="16767"/>
      <c r="T298" s="16759"/>
      <c r="U298" s="16759"/>
      <c r="V298" s="16759"/>
      <c r="W298" s="16759"/>
      <c r="X298" s="16759"/>
      <c r="Y298" s="16759"/>
      <c r="Z298" s="16759"/>
      <c r="AA298" s="16759"/>
      <c r="AB298" s="16759"/>
      <c r="AC298" s="16768"/>
      <c r="AD298" s="16759">
        <v>0</v>
      </c>
    </row>
    <row s="36579" customFormat="1" customHeight="1" ht="15">
      <c r="A299" s="16759"/>
      <c r="B299" s="16760"/>
      <c r="C299" s="16761"/>
      <c r="D299" s="16762" t="str">
        <f>B298&amp;".2"</f>
        <v>3.88.2</v>
      </c>
      <c r="E299" s="16763" t="s">
        <v>964</v>
      </c>
      <c r="F299" s="16764" t="s">
        <v>324</v>
      </c>
      <c r="G299" s="16577" t="s">
        <v>22</v>
      </c>
      <c r="H299" s="16766" t="s">
        <v>22</v>
      </c>
      <c r="I299" s="19680">
        <v>45401</v>
      </c>
      <c r="J299" s="16766" t="s">
        <v>22</v>
      </c>
      <c r="K299" s="16577" t="s">
        <v>22</v>
      </c>
      <c r="L299" s="16766" t="s">
        <v>22</v>
      </c>
      <c r="M299" s="16577" t="s">
        <v>22</v>
      </c>
      <c r="N299" s="16766" t="s">
        <v>22</v>
      </c>
      <c r="O299" s="29860" t="s">
        <v>22</v>
      </c>
      <c r="P299" s="29856" t="s">
        <v>22</v>
      </c>
      <c r="Q299" s="16577" t="s">
        <v>22</v>
      </c>
      <c r="R299" s="16766" t="s">
        <v>22</v>
      </c>
      <c r="S299" s="16767" t="s">
        <v>965</v>
      </c>
      <c r="T299" s="16759"/>
      <c r="U299" s="16759"/>
      <c r="V299" s="16759"/>
      <c r="W299" s="16759"/>
      <c r="X299" s="16759"/>
      <c r="Y299" s="16759"/>
      <c r="Z299" s="16759"/>
      <c r="AA299" s="16759"/>
      <c r="AB299" s="16759"/>
      <c r="AC299" s="16768"/>
      <c r="AD299" s="16759">
        <v>0</v>
      </c>
    </row>
    <row s="36580" customFormat="1" customHeight="1" ht="15">
      <c r="A300" s="16759"/>
      <c r="B300" s="16760"/>
      <c r="C300" s="16761"/>
      <c r="D300" s="16762" t="str">
        <f>B298&amp;".3"</f>
        <v>3.88.3</v>
      </c>
      <c r="E300" s="16763" t="s">
        <v>966</v>
      </c>
      <c r="F300" s="16764" t="s">
        <v>324</v>
      </c>
      <c r="G300" s="16577" t="s">
        <v>22</v>
      </c>
      <c r="H300" s="16766" t="s">
        <v>22</v>
      </c>
      <c r="I300" s="19680" t="s">
        <v>22</v>
      </c>
      <c r="J300" s="16766" t="s">
        <v>22</v>
      </c>
      <c r="K300" s="16577" t="s">
        <v>22</v>
      </c>
      <c r="L300" s="16766" t="s">
        <v>22</v>
      </c>
      <c r="M300" s="16577" t="s">
        <v>22</v>
      </c>
      <c r="N300" s="16766" t="s">
        <v>22</v>
      </c>
      <c r="O300" s="29860" t="s">
        <v>22</v>
      </c>
      <c r="P300" s="29856" t="s">
        <v>22</v>
      </c>
      <c r="Q300" s="16577" t="s">
        <v>22</v>
      </c>
      <c r="R300" s="16766" t="s">
        <v>22</v>
      </c>
      <c r="S300" s="16767" t="s">
        <v>967</v>
      </c>
      <c r="T300" s="16759"/>
      <c r="U300" s="16759"/>
      <c r="V300" s="16759"/>
      <c r="W300" s="16759"/>
      <c r="X300" s="16759"/>
      <c r="Y300" s="16759"/>
      <c r="Z300" s="16759"/>
      <c r="AA300" s="16759"/>
      <c r="AB300" s="16759"/>
      <c r="AC300" s="16768"/>
      <c r="AD300" s="16759">
        <v>0</v>
      </c>
    </row>
    <row s="36581" customFormat="1" customHeight="1" ht="22.5">
      <c r="A301" s="19960"/>
      <c r="B301" s="19961" t="s">
        <v>1069</v>
      </c>
      <c r="C301" s="19962" t="s">
        <v>103</v>
      </c>
      <c r="D301" s="19963" t="str">
        <f>B301&amp;".1"</f>
        <v>3.89.1</v>
      </c>
      <c r="E301" s="19964" t="s">
        <v>963</v>
      </c>
      <c r="F301" s="19965" t="s">
        <v>324</v>
      </c>
      <c r="G301" s="19966" t="s">
        <v>22</v>
      </c>
      <c r="H301" s="19967" t="s">
        <v>22</v>
      </c>
      <c r="I301" s="19966" t="s">
        <v>1064</v>
      </c>
      <c r="J301" s="19967" t="s">
        <v>22</v>
      </c>
      <c r="K301" s="19966" t="s">
        <v>22</v>
      </c>
      <c r="L301" s="19967" t="s">
        <v>22</v>
      </c>
      <c r="M301" s="19966" t="s">
        <v>22</v>
      </c>
      <c r="N301" s="19967" t="s">
        <v>22</v>
      </c>
      <c r="O301" s="29958" t="s">
        <v>22</v>
      </c>
      <c r="P301" s="29959" t="s">
        <v>22</v>
      </c>
      <c r="Q301" s="19966" t="s">
        <v>22</v>
      </c>
      <c r="R301" s="19967" t="s">
        <v>22</v>
      </c>
      <c r="S301" s="19968"/>
      <c r="T301" s="19960"/>
      <c r="U301" s="19960"/>
      <c r="V301" s="19960"/>
      <c r="W301" s="19960"/>
      <c r="X301" s="19960"/>
      <c r="Y301" s="19960"/>
      <c r="Z301" s="19960"/>
      <c r="AA301" s="19960"/>
      <c r="AB301" s="19960"/>
      <c r="AC301" s="19969"/>
      <c r="AD301" s="19960">
        <v>0</v>
      </c>
    </row>
    <row s="36594" customFormat="1" customHeight="1" ht="15">
      <c r="A302" s="19960"/>
      <c r="B302" s="19961"/>
      <c r="C302" s="19962"/>
      <c r="D302" s="19963" t="str">
        <f>B301&amp;".2"</f>
        <v>3.89.2</v>
      </c>
      <c r="E302" s="19964" t="s">
        <v>964</v>
      </c>
      <c r="F302" s="19965" t="s">
        <v>324</v>
      </c>
      <c r="G302" s="19680" t="s">
        <v>22</v>
      </c>
      <c r="H302" s="19967" t="s">
        <v>22</v>
      </c>
      <c r="I302" s="19680">
        <v>45401</v>
      </c>
      <c r="J302" s="19967" t="s">
        <v>22</v>
      </c>
      <c r="K302" s="19680" t="s">
        <v>22</v>
      </c>
      <c r="L302" s="19967" t="s">
        <v>22</v>
      </c>
      <c r="M302" s="19680" t="s">
        <v>22</v>
      </c>
      <c r="N302" s="19967" t="s">
        <v>22</v>
      </c>
      <c r="O302" s="29663" t="s">
        <v>22</v>
      </c>
      <c r="P302" s="29959" t="s">
        <v>22</v>
      </c>
      <c r="Q302" s="19680" t="s">
        <v>22</v>
      </c>
      <c r="R302" s="19967" t="s">
        <v>22</v>
      </c>
      <c r="S302" s="19968" t="s">
        <v>965</v>
      </c>
      <c r="T302" s="19960"/>
      <c r="U302" s="19960"/>
      <c r="V302" s="19960"/>
      <c r="W302" s="19960"/>
      <c r="X302" s="19960"/>
      <c r="Y302" s="19960"/>
      <c r="Z302" s="19960"/>
      <c r="AA302" s="19960"/>
      <c r="AB302" s="19960"/>
      <c r="AC302" s="19969"/>
      <c r="AD302" s="19960">
        <v>0</v>
      </c>
    </row>
    <row s="36595" customFormat="1" customHeight="1" ht="15">
      <c r="A303" s="19960"/>
      <c r="B303" s="19961"/>
      <c r="C303" s="19962"/>
      <c r="D303" s="19963" t="str">
        <f>B301&amp;".3"</f>
        <v>3.89.3</v>
      </c>
      <c r="E303" s="19964" t="s">
        <v>966</v>
      </c>
      <c r="F303" s="19965" t="s">
        <v>324</v>
      </c>
      <c r="G303" s="19680" t="s">
        <v>22</v>
      </c>
      <c r="H303" s="19967" t="s">
        <v>22</v>
      </c>
      <c r="I303" s="19680" t="s">
        <v>22</v>
      </c>
      <c r="J303" s="19967" t="s">
        <v>22</v>
      </c>
      <c r="K303" s="19680" t="s">
        <v>22</v>
      </c>
      <c r="L303" s="19967" t="s">
        <v>22</v>
      </c>
      <c r="M303" s="19680" t="s">
        <v>22</v>
      </c>
      <c r="N303" s="19967" t="s">
        <v>22</v>
      </c>
      <c r="O303" s="29663" t="s">
        <v>22</v>
      </c>
      <c r="P303" s="29959" t="s">
        <v>22</v>
      </c>
      <c r="Q303" s="19680" t="s">
        <v>22</v>
      </c>
      <c r="R303" s="19967" t="s">
        <v>22</v>
      </c>
      <c r="S303" s="19968" t="s">
        <v>967</v>
      </c>
      <c r="T303" s="19960"/>
      <c r="U303" s="19960"/>
      <c r="V303" s="19960"/>
      <c r="W303" s="19960"/>
      <c r="X303" s="19960"/>
      <c r="Y303" s="19960"/>
      <c r="Z303" s="19960"/>
      <c r="AA303" s="19960"/>
      <c r="AB303" s="19960"/>
      <c r="AC303" s="19969"/>
      <c r="AD303" s="19960">
        <v>0</v>
      </c>
    </row>
    <row s="36596" customFormat="1" customHeight="1" ht="22.5">
      <c r="A304" s="19960"/>
      <c r="B304" s="19961" t="s">
        <v>1070</v>
      </c>
      <c r="C304" s="19962" t="s">
        <v>103</v>
      </c>
      <c r="D304" s="19963" t="str">
        <f>B304&amp;".1"</f>
        <v>3.90.1</v>
      </c>
      <c r="E304" s="19964" t="s">
        <v>963</v>
      </c>
      <c r="F304" s="19965" t="s">
        <v>324</v>
      </c>
      <c r="G304" s="19966" t="s">
        <v>22</v>
      </c>
      <c r="H304" s="19967" t="s">
        <v>22</v>
      </c>
      <c r="I304" s="19966" t="s">
        <v>1071</v>
      </c>
      <c r="J304" s="19967" t="s">
        <v>22</v>
      </c>
      <c r="K304" s="19966" t="s">
        <v>22</v>
      </c>
      <c r="L304" s="19967" t="s">
        <v>22</v>
      </c>
      <c r="M304" s="19966" t="s">
        <v>22</v>
      </c>
      <c r="N304" s="19967" t="s">
        <v>22</v>
      </c>
      <c r="O304" s="29958" t="s">
        <v>22</v>
      </c>
      <c r="P304" s="29959" t="s">
        <v>22</v>
      </c>
      <c r="Q304" s="19966" t="s">
        <v>22</v>
      </c>
      <c r="R304" s="19967" t="s">
        <v>22</v>
      </c>
      <c r="S304" s="19968"/>
      <c r="T304" s="19960"/>
      <c r="U304" s="19960"/>
      <c r="V304" s="19960"/>
      <c r="W304" s="19960"/>
      <c r="X304" s="19960"/>
      <c r="Y304" s="19960"/>
      <c r="Z304" s="19960"/>
      <c r="AA304" s="19960"/>
      <c r="AB304" s="19960"/>
      <c r="AC304" s="19969"/>
      <c r="AD304" s="19960">
        <v>0</v>
      </c>
    </row>
    <row s="36597" customFormat="1" customHeight="1" ht="15">
      <c r="A305" s="19960"/>
      <c r="B305" s="19961"/>
      <c r="C305" s="19962"/>
      <c r="D305" s="19963" t="str">
        <f>B304&amp;".2"</f>
        <v>3.90.2</v>
      </c>
      <c r="E305" s="19964" t="s">
        <v>964</v>
      </c>
      <c r="F305" s="19965" t="s">
        <v>324</v>
      </c>
      <c r="G305" s="19680" t="s">
        <v>22</v>
      </c>
      <c r="H305" s="19967" t="s">
        <v>22</v>
      </c>
      <c r="I305" s="19680">
        <v>45401</v>
      </c>
      <c r="J305" s="19967" t="s">
        <v>22</v>
      </c>
      <c r="K305" s="19680" t="s">
        <v>22</v>
      </c>
      <c r="L305" s="19967" t="s">
        <v>22</v>
      </c>
      <c r="M305" s="19680" t="s">
        <v>22</v>
      </c>
      <c r="N305" s="19967" t="s">
        <v>22</v>
      </c>
      <c r="O305" s="29663" t="s">
        <v>22</v>
      </c>
      <c r="P305" s="29959" t="s">
        <v>22</v>
      </c>
      <c r="Q305" s="19680" t="s">
        <v>22</v>
      </c>
      <c r="R305" s="19967" t="s">
        <v>22</v>
      </c>
      <c r="S305" s="19968" t="s">
        <v>965</v>
      </c>
      <c r="T305" s="19960"/>
      <c r="U305" s="19960"/>
      <c r="V305" s="19960"/>
      <c r="W305" s="19960"/>
      <c r="X305" s="19960"/>
      <c r="Y305" s="19960"/>
      <c r="Z305" s="19960"/>
      <c r="AA305" s="19960"/>
      <c r="AB305" s="19960"/>
      <c r="AC305" s="19969"/>
      <c r="AD305" s="19960">
        <v>0</v>
      </c>
    </row>
    <row s="36598" customFormat="1" customHeight="1" ht="15">
      <c r="A306" s="19960"/>
      <c r="B306" s="19961"/>
      <c r="C306" s="19962"/>
      <c r="D306" s="19963" t="str">
        <f>B304&amp;".3"</f>
        <v>3.90.3</v>
      </c>
      <c r="E306" s="19964" t="s">
        <v>966</v>
      </c>
      <c r="F306" s="19965" t="s">
        <v>324</v>
      </c>
      <c r="G306" s="19680" t="s">
        <v>22</v>
      </c>
      <c r="H306" s="19967" t="s">
        <v>22</v>
      </c>
      <c r="I306" s="19680" t="s">
        <v>22</v>
      </c>
      <c r="J306" s="19967" t="s">
        <v>22</v>
      </c>
      <c r="K306" s="19680" t="s">
        <v>22</v>
      </c>
      <c r="L306" s="19967" t="s">
        <v>22</v>
      </c>
      <c r="M306" s="19680" t="s">
        <v>22</v>
      </c>
      <c r="N306" s="19967" t="s">
        <v>22</v>
      </c>
      <c r="O306" s="29663" t="s">
        <v>22</v>
      </c>
      <c r="P306" s="29959" t="s">
        <v>22</v>
      </c>
      <c r="Q306" s="19680" t="s">
        <v>22</v>
      </c>
      <c r="R306" s="19967" t="s">
        <v>22</v>
      </c>
      <c r="S306" s="19968" t="s">
        <v>967</v>
      </c>
      <c r="T306" s="19960"/>
      <c r="U306" s="19960"/>
      <c r="V306" s="19960"/>
      <c r="W306" s="19960"/>
      <c r="X306" s="19960"/>
      <c r="Y306" s="19960"/>
      <c r="Z306" s="19960"/>
      <c r="AA306" s="19960"/>
      <c r="AB306" s="19960"/>
      <c r="AC306" s="19969"/>
      <c r="AD306" s="19960">
        <v>0</v>
      </c>
    </row>
    <row s="36599" customFormat="1" customHeight="1" ht="22.5">
      <c r="A307" s="19960"/>
      <c r="B307" s="19961" t="s">
        <v>1072</v>
      </c>
      <c r="C307" s="19962" t="s">
        <v>103</v>
      </c>
      <c r="D307" s="19963" t="str">
        <f>B307&amp;".1"</f>
        <v>3.91.1</v>
      </c>
      <c r="E307" s="19964" t="s">
        <v>963</v>
      </c>
      <c r="F307" s="19965" t="s">
        <v>324</v>
      </c>
      <c r="G307" s="19966" t="s">
        <v>22</v>
      </c>
      <c r="H307" s="19967" t="s">
        <v>22</v>
      </c>
      <c r="I307" s="19966" t="s">
        <v>1064</v>
      </c>
      <c r="J307" s="19967" t="s">
        <v>22</v>
      </c>
      <c r="K307" s="19966" t="s">
        <v>22</v>
      </c>
      <c r="L307" s="19967" t="s">
        <v>22</v>
      </c>
      <c r="M307" s="19966" t="s">
        <v>22</v>
      </c>
      <c r="N307" s="19967" t="s">
        <v>22</v>
      </c>
      <c r="O307" s="29958" t="s">
        <v>22</v>
      </c>
      <c r="P307" s="29959" t="s">
        <v>22</v>
      </c>
      <c r="Q307" s="19966" t="s">
        <v>22</v>
      </c>
      <c r="R307" s="19967" t="s">
        <v>22</v>
      </c>
      <c r="S307" s="19968"/>
      <c r="T307" s="19960"/>
      <c r="U307" s="19960"/>
      <c r="V307" s="19960"/>
      <c r="W307" s="19960"/>
      <c r="X307" s="19960"/>
      <c r="Y307" s="19960"/>
      <c r="Z307" s="19960"/>
      <c r="AA307" s="19960"/>
      <c r="AB307" s="19960"/>
      <c r="AC307" s="19969"/>
      <c r="AD307" s="19960">
        <v>0</v>
      </c>
    </row>
    <row s="36600" customFormat="1" customHeight="1" ht="15">
      <c r="A308" s="19960"/>
      <c r="B308" s="19961"/>
      <c r="C308" s="19962"/>
      <c r="D308" s="19963" t="str">
        <f>B307&amp;".2"</f>
        <v>3.91.2</v>
      </c>
      <c r="E308" s="19964" t="s">
        <v>964</v>
      </c>
      <c r="F308" s="19965" t="s">
        <v>324</v>
      </c>
      <c r="G308" s="19680" t="s">
        <v>22</v>
      </c>
      <c r="H308" s="19967" t="s">
        <v>22</v>
      </c>
      <c r="I308" s="19680">
        <v>45401</v>
      </c>
      <c r="J308" s="19967" t="s">
        <v>22</v>
      </c>
      <c r="K308" s="19680" t="s">
        <v>22</v>
      </c>
      <c r="L308" s="19967" t="s">
        <v>22</v>
      </c>
      <c r="M308" s="19680" t="s">
        <v>22</v>
      </c>
      <c r="N308" s="19967" t="s">
        <v>22</v>
      </c>
      <c r="O308" s="29663" t="s">
        <v>22</v>
      </c>
      <c r="P308" s="29959" t="s">
        <v>22</v>
      </c>
      <c r="Q308" s="19680" t="s">
        <v>22</v>
      </c>
      <c r="R308" s="19967" t="s">
        <v>22</v>
      </c>
      <c r="S308" s="19968" t="s">
        <v>965</v>
      </c>
      <c r="T308" s="19960"/>
      <c r="U308" s="19960"/>
      <c r="V308" s="19960"/>
      <c r="W308" s="19960"/>
      <c r="X308" s="19960"/>
      <c r="Y308" s="19960"/>
      <c r="Z308" s="19960"/>
      <c r="AA308" s="19960"/>
      <c r="AB308" s="19960"/>
      <c r="AC308" s="19969"/>
      <c r="AD308" s="19960">
        <v>0</v>
      </c>
    </row>
    <row s="36601" customFormat="1" customHeight="1" ht="15">
      <c r="A309" s="19960"/>
      <c r="B309" s="19961"/>
      <c r="C309" s="19962"/>
      <c r="D309" s="19963" t="str">
        <f>B307&amp;".3"</f>
        <v>3.91.3</v>
      </c>
      <c r="E309" s="19964" t="s">
        <v>966</v>
      </c>
      <c r="F309" s="19965" t="s">
        <v>324</v>
      </c>
      <c r="G309" s="19680" t="s">
        <v>22</v>
      </c>
      <c r="H309" s="19967" t="s">
        <v>22</v>
      </c>
      <c r="I309" s="19680" t="s">
        <v>22</v>
      </c>
      <c r="J309" s="19967" t="s">
        <v>22</v>
      </c>
      <c r="K309" s="19680" t="s">
        <v>22</v>
      </c>
      <c r="L309" s="19967" t="s">
        <v>22</v>
      </c>
      <c r="M309" s="19680" t="s">
        <v>22</v>
      </c>
      <c r="N309" s="19967" t="s">
        <v>22</v>
      </c>
      <c r="O309" s="29663" t="s">
        <v>22</v>
      </c>
      <c r="P309" s="29959" t="s">
        <v>22</v>
      </c>
      <c r="Q309" s="19680" t="s">
        <v>22</v>
      </c>
      <c r="R309" s="19967" t="s">
        <v>22</v>
      </c>
      <c r="S309" s="19968" t="s">
        <v>967</v>
      </c>
      <c r="T309" s="19960"/>
      <c r="U309" s="19960"/>
      <c r="V309" s="19960"/>
      <c r="W309" s="19960"/>
      <c r="X309" s="19960"/>
      <c r="Y309" s="19960"/>
      <c r="Z309" s="19960"/>
      <c r="AA309" s="19960"/>
      <c r="AB309" s="19960"/>
      <c r="AC309" s="19969"/>
      <c r="AD309" s="19960">
        <v>0</v>
      </c>
    </row>
    <row s="36602" customFormat="1" customHeight="1" ht="22.5">
      <c r="A310" s="19960"/>
      <c r="B310" s="19961" t="s">
        <v>1073</v>
      </c>
      <c r="C310" s="19962" t="s">
        <v>103</v>
      </c>
      <c r="D310" s="19963" t="str">
        <f>B310&amp;".1"</f>
        <v>3.92.1</v>
      </c>
      <c r="E310" s="19964" t="s">
        <v>963</v>
      </c>
      <c r="F310" s="19965" t="s">
        <v>324</v>
      </c>
      <c r="G310" s="19966" t="s">
        <v>22</v>
      </c>
      <c r="H310" s="19967" t="s">
        <v>22</v>
      </c>
      <c r="I310" s="19966" t="s">
        <v>1064</v>
      </c>
      <c r="J310" s="19967" t="s">
        <v>22</v>
      </c>
      <c r="K310" s="19966" t="s">
        <v>22</v>
      </c>
      <c r="L310" s="19967" t="s">
        <v>22</v>
      </c>
      <c r="M310" s="19966" t="s">
        <v>22</v>
      </c>
      <c r="N310" s="19967" t="s">
        <v>22</v>
      </c>
      <c r="O310" s="29958" t="s">
        <v>22</v>
      </c>
      <c r="P310" s="29959" t="s">
        <v>22</v>
      </c>
      <c r="Q310" s="19966" t="s">
        <v>22</v>
      </c>
      <c r="R310" s="19967" t="s">
        <v>22</v>
      </c>
      <c r="S310" s="19968"/>
      <c r="T310" s="19960"/>
      <c r="U310" s="19960"/>
      <c r="V310" s="19960"/>
      <c r="W310" s="19960"/>
      <c r="X310" s="19960"/>
      <c r="Y310" s="19960"/>
      <c r="Z310" s="19960"/>
      <c r="AA310" s="19960"/>
      <c r="AB310" s="19960"/>
      <c r="AC310" s="19969"/>
      <c r="AD310" s="19960">
        <v>0</v>
      </c>
    </row>
    <row s="36603" customFormat="1" customHeight="1" ht="15">
      <c r="A311" s="19960"/>
      <c r="B311" s="19961"/>
      <c r="C311" s="19962"/>
      <c r="D311" s="19963" t="str">
        <f>B310&amp;".2"</f>
        <v>3.92.2</v>
      </c>
      <c r="E311" s="19964" t="s">
        <v>964</v>
      </c>
      <c r="F311" s="19965" t="s">
        <v>324</v>
      </c>
      <c r="G311" s="19680" t="s">
        <v>22</v>
      </c>
      <c r="H311" s="19967" t="s">
        <v>22</v>
      </c>
      <c r="I311" s="19680">
        <v>45402</v>
      </c>
      <c r="J311" s="19967" t="s">
        <v>22</v>
      </c>
      <c r="K311" s="19680" t="s">
        <v>22</v>
      </c>
      <c r="L311" s="19967" t="s">
        <v>22</v>
      </c>
      <c r="M311" s="19680" t="s">
        <v>22</v>
      </c>
      <c r="N311" s="19967" t="s">
        <v>22</v>
      </c>
      <c r="O311" s="29663" t="s">
        <v>22</v>
      </c>
      <c r="P311" s="29959" t="s">
        <v>22</v>
      </c>
      <c r="Q311" s="19680" t="s">
        <v>22</v>
      </c>
      <c r="R311" s="19967" t="s">
        <v>22</v>
      </c>
      <c r="S311" s="19968" t="s">
        <v>965</v>
      </c>
      <c r="T311" s="19960"/>
      <c r="U311" s="19960"/>
      <c r="V311" s="19960"/>
      <c r="W311" s="19960"/>
      <c r="X311" s="19960"/>
      <c r="Y311" s="19960"/>
      <c r="Z311" s="19960"/>
      <c r="AA311" s="19960"/>
      <c r="AB311" s="19960"/>
      <c r="AC311" s="19969"/>
      <c r="AD311" s="19960">
        <v>0</v>
      </c>
    </row>
    <row s="36604" customFormat="1" customHeight="1" ht="15">
      <c r="A312" s="19960"/>
      <c r="B312" s="19961"/>
      <c r="C312" s="19962"/>
      <c r="D312" s="19963" t="str">
        <f>B310&amp;".3"</f>
        <v>3.92.3</v>
      </c>
      <c r="E312" s="19964" t="s">
        <v>966</v>
      </c>
      <c r="F312" s="19965" t="s">
        <v>324</v>
      </c>
      <c r="G312" s="19680" t="s">
        <v>22</v>
      </c>
      <c r="H312" s="19967" t="s">
        <v>22</v>
      </c>
      <c r="I312" s="19680" t="s">
        <v>22</v>
      </c>
      <c r="J312" s="19967" t="s">
        <v>22</v>
      </c>
      <c r="K312" s="19680" t="s">
        <v>22</v>
      </c>
      <c r="L312" s="19967" t="s">
        <v>22</v>
      </c>
      <c r="M312" s="19680" t="s">
        <v>22</v>
      </c>
      <c r="N312" s="19967" t="s">
        <v>22</v>
      </c>
      <c r="O312" s="29663" t="s">
        <v>22</v>
      </c>
      <c r="P312" s="29959" t="s">
        <v>22</v>
      </c>
      <c r="Q312" s="19680" t="s">
        <v>22</v>
      </c>
      <c r="R312" s="19967" t="s">
        <v>22</v>
      </c>
      <c r="S312" s="19968" t="s">
        <v>967</v>
      </c>
      <c r="T312" s="19960"/>
      <c r="U312" s="19960"/>
      <c r="V312" s="19960"/>
      <c r="W312" s="19960"/>
      <c r="X312" s="19960"/>
      <c r="Y312" s="19960"/>
      <c r="Z312" s="19960"/>
      <c r="AA312" s="19960"/>
      <c r="AB312" s="19960"/>
      <c r="AC312" s="19969"/>
      <c r="AD312" s="19960">
        <v>0</v>
      </c>
    </row>
    <row s="36605" customFormat="1" customHeight="1" ht="22.5">
      <c r="A313" s="19960"/>
      <c r="B313" s="19961" t="s">
        <v>1074</v>
      </c>
      <c r="C313" s="19962" t="s">
        <v>103</v>
      </c>
      <c r="D313" s="19963" t="str">
        <f>B313&amp;".1"</f>
        <v>3.93.1</v>
      </c>
      <c r="E313" s="19964" t="s">
        <v>963</v>
      </c>
      <c r="F313" s="19965" t="s">
        <v>324</v>
      </c>
      <c r="G313" s="19966" t="s">
        <v>22</v>
      </c>
      <c r="H313" s="19967" t="s">
        <v>22</v>
      </c>
      <c r="I313" s="19966" t="s">
        <v>1064</v>
      </c>
      <c r="J313" s="19967" t="s">
        <v>22</v>
      </c>
      <c r="K313" s="19966" t="s">
        <v>22</v>
      </c>
      <c r="L313" s="19967" t="s">
        <v>22</v>
      </c>
      <c r="M313" s="19966" t="s">
        <v>22</v>
      </c>
      <c r="N313" s="19967" t="s">
        <v>22</v>
      </c>
      <c r="O313" s="29958" t="s">
        <v>22</v>
      </c>
      <c r="P313" s="29959" t="s">
        <v>22</v>
      </c>
      <c r="Q313" s="19966" t="s">
        <v>22</v>
      </c>
      <c r="R313" s="19967" t="s">
        <v>22</v>
      </c>
      <c r="S313" s="19968"/>
      <c r="T313" s="19960"/>
      <c r="U313" s="19960"/>
      <c r="V313" s="19960"/>
      <c r="W313" s="19960"/>
      <c r="X313" s="19960"/>
      <c r="Y313" s="19960"/>
      <c r="Z313" s="19960"/>
      <c r="AA313" s="19960"/>
      <c r="AB313" s="19960"/>
      <c r="AC313" s="19969"/>
      <c r="AD313" s="19960">
        <v>0</v>
      </c>
    </row>
    <row s="36606" customFormat="1" customHeight="1" ht="15">
      <c r="A314" s="19960"/>
      <c r="B314" s="19961"/>
      <c r="C314" s="19962"/>
      <c r="D314" s="19963" t="str">
        <f>B313&amp;".2"</f>
        <v>3.93.2</v>
      </c>
      <c r="E314" s="19964" t="s">
        <v>964</v>
      </c>
      <c r="F314" s="19965" t="s">
        <v>324</v>
      </c>
      <c r="G314" s="19680" t="s">
        <v>22</v>
      </c>
      <c r="H314" s="19967" t="s">
        <v>22</v>
      </c>
      <c r="I314" s="19680">
        <v>45402</v>
      </c>
      <c r="J314" s="19967" t="s">
        <v>22</v>
      </c>
      <c r="K314" s="19680" t="s">
        <v>22</v>
      </c>
      <c r="L314" s="19967" t="s">
        <v>22</v>
      </c>
      <c r="M314" s="19680" t="s">
        <v>22</v>
      </c>
      <c r="N314" s="19967" t="s">
        <v>22</v>
      </c>
      <c r="O314" s="29663" t="s">
        <v>22</v>
      </c>
      <c r="P314" s="29959" t="s">
        <v>22</v>
      </c>
      <c r="Q314" s="19680" t="s">
        <v>22</v>
      </c>
      <c r="R314" s="19967" t="s">
        <v>22</v>
      </c>
      <c r="S314" s="19968" t="s">
        <v>965</v>
      </c>
      <c r="T314" s="19960"/>
      <c r="U314" s="19960"/>
      <c r="V314" s="19960"/>
      <c r="W314" s="19960"/>
      <c r="X314" s="19960"/>
      <c r="Y314" s="19960"/>
      <c r="Z314" s="19960"/>
      <c r="AA314" s="19960"/>
      <c r="AB314" s="19960"/>
      <c r="AC314" s="19969"/>
      <c r="AD314" s="19960">
        <v>0</v>
      </c>
    </row>
    <row s="36607" customFormat="1" customHeight="1" ht="15">
      <c r="A315" s="19960"/>
      <c r="B315" s="19961"/>
      <c r="C315" s="19962"/>
      <c r="D315" s="19963" t="str">
        <f>B313&amp;".3"</f>
        <v>3.93.3</v>
      </c>
      <c r="E315" s="19964" t="s">
        <v>966</v>
      </c>
      <c r="F315" s="19965" t="s">
        <v>324</v>
      </c>
      <c r="G315" s="19680" t="s">
        <v>22</v>
      </c>
      <c r="H315" s="19967" t="s">
        <v>22</v>
      </c>
      <c r="I315" s="19680" t="s">
        <v>22</v>
      </c>
      <c r="J315" s="19967" t="s">
        <v>22</v>
      </c>
      <c r="K315" s="19680" t="s">
        <v>22</v>
      </c>
      <c r="L315" s="19967" t="s">
        <v>22</v>
      </c>
      <c r="M315" s="19680" t="s">
        <v>22</v>
      </c>
      <c r="N315" s="19967" t="s">
        <v>22</v>
      </c>
      <c r="O315" s="29663" t="s">
        <v>22</v>
      </c>
      <c r="P315" s="29959" t="s">
        <v>22</v>
      </c>
      <c r="Q315" s="19680" t="s">
        <v>22</v>
      </c>
      <c r="R315" s="19967" t="s">
        <v>22</v>
      </c>
      <c r="S315" s="19968" t="s">
        <v>967</v>
      </c>
      <c r="T315" s="19960"/>
      <c r="U315" s="19960"/>
      <c r="V315" s="19960"/>
      <c r="W315" s="19960"/>
      <c r="X315" s="19960"/>
      <c r="Y315" s="19960"/>
      <c r="Z315" s="19960"/>
      <c r="AA315" s="19960"/>
      <c r="AB315" s="19960"/>
      <c r="AC315" s="19969"/>
      <c r="AD315" s="19960">
        <v>0</v>
      </c>
    </row>
    <row s="36608" customFormat="1" customHeight="1" ht="22.5">
      <c r="A316" s="19960"/>
      <c r="B316" s="19961" t="s">
        <v>1075</v>
      </c>
      <c r="C316" s="19962" t="s">
        <v>103</v>
      </c>
      <c r="D316" s="19963" t="str">
        <f>B316&amp;".1"</f>
        <v>3.94.1</v>
      </c>
      <c r="E316" s="19964" t="s">
        <v>963</v>
      </c>
      <c r="F316" s="19965" t="s">
        <v>324</v>
      </c>
      <c r="G316" s="19966" t="s">
        <v>22</v>
      </c>
      <c r="H316" s="19967" t="s">
        <v>22</v>
      </c>
      <c r="I316" s="19966" t="s">
        <v>1064</v>
      </c>
      <c r="J316" s="19967" t="s">
        <v>22</v>
      </c>
      <c r="K316" s="19966" t="s">
        <v>22</v>
      </c>
      <c r="L316" s="19967" t="s">
        <v>22</v>
      </c>
      <c r="M316" s="19966" t="s">
        <v>22</v>
      </c>
      <c r="N316" s="19967" t="s">
        <v>22</v>
      </c>
      <c r="O316" s="29958" t="s">
        <v>22</v>
      </c>
      <c r="P316" s="29959" t="s">
        <v>22</v>
      </c>
      <c r="Q316" s="19966" t="s">
        <v>22</v>
      </c>
      <c r="R316" s="19967" t="s">
        <v>22</v>
      </c>
      <c r="S316" s="19968"/>
      <c r="T316" s="19960"/>
      <c r="U316" s="19960"/>
      <c r="V316" s="19960"/>
      <c r="W316" s="19960"/>
      <c r="X316" s="19960"/>
      <c r="Y316" s="19960"/>
      <c r="Z316" s="19960"/>
      <c r="AA316" s="19960"/>
      <c r="AB316" s="19960"/>
      <c r="AC316" s="19969"/>
      <c r="AD316" s="19960">
        <v>0</v>
      </c>
    </row>
    <row s="36609" customFormat="1" customHeight="1" ht="15">
      <c r="A317" s="19960"/>
      <c r="B317" s="19961"/>
      <c r="C317" s="19962"/>
      <c r="D317" s="19963" t="str">
        <f>B316&amp;".2"</f>
        <v>3.94.2</v>
      </c>
      <c r="E317" s="19964" t="s">
        <v>964</v>
      </c>
      <c r="F317" s="19965" t="s">
        <v>324</v>
      </c>
      <c r="G317" s="19680" t="s">
        <v>22</v>
      </c>
      <c r="H317" s="19967" t="s">
        <v>22</v>
      </c>
      <c r="I317" s="19680">
        <v>45402</v>
      </c>
      <c r="J317" s="19967" t="s">
        <v>22</v>
      </c>
      <c r="K317" s="19680" t="s">
        <v>22</v>
      </c>
      <c r="L317" s="19967" t="s">
        <v>22</v>
      </c>
      <c r="M317" s="19680" t="s">
        <v>22</v>
      </c>
      <c r="N317" s="19967" t="s">
        <v>22</v>
      </c>
      <c r="O317" s="29663" t="s">
        <v>22</v>
      </c>
      <c r="P317" s="29959" t="s">
        <v>22</v>
      </c>
      <c r="Q317" s="19680" t="s">
        <v>22</v>
      </c>
      <c r="R317" s="19967" t="s">
        <v>22</v>
      </c>
      <c r="S317" s="19968" t="s">
        <v>965</v>
      </c>
      <c r="T317" s="19960"/>
      <c r="U317" s="19960"/>
      <c r="V317" s="19960"/>
      <c r="W317" s="19960"/>
      <c r="X317" s="19960"/>
      <c r="Y317" s="19960"/>
      <c r="Z317" s="19960"/>
      <c r="AA317" s="19960"/>
      <c r="AB317" s="19960"/>
      <c r="AC317" s="19969"/>
      <c r="AD317" s="19960">
        <v>0</v>
      </c>
    </row>
    <row s="36610" customFormat="1" customHeight="1" ht="15">
      <c r="A318" s="19960"/>
      <c r="B318" s="19961"/>
      <c r="C318" s="19962"/>
      <c r="D318" s="19963" t="str">
        <f>B316&amp;".3"</f>
        <v>3.94.3</v>
      </c>
      <c r="E318" s="19964" t="s">
        <v>966</v>
      </c>
      <c r="F318" s="19965" t="s">
        <v>324</v>
      </c>
      <c r="G318" s="19680" t="s">
        <v>22</v>
      </c>
      <c r="H318" s="19967" t="s">
        <v>22</v>
      </c>
      <c r="I318" s="19680" t="s">
        <v>22</v>
      </c>
      <c r="J318" s="19967" t="s">
        <v>22</v>
      </c>
      <c r="K318" s="19680" t="s">
        <v>22</v>
      </c>
      <c r="L318" s="19967" t="s">
        <v>22</v>
      </c>
      <c r="M318" s="19680" t="s">
        <v>22</v>
      </c>
      <c r="N318" s="19967" t="s">
        <v>22</v>
      </c>
      <c r="O318" s="29663" t="s">
        <v>22</v>
      </c>
      <c r="P318" s="29959" t="s">
        <v>22</v>
      </c>
      <c r="Q318" s="19680" t="s">
        <v>22</v>
      </c>
      <c r="R318" s="19967" t="s">
        <v>22</v>
      </c>
      <c r="S318" s="19968" t="s">
        <v>967</v>
      </c>
      <c r="T318" s="19960"/>
      <c r="U318" s="19960"/>
      <c r="V318" s="19960"/>
      <c r="W318" s="19960"/>
      <c r="X318" s="19960"/>
      <c r="Y318" s="19960"/>
      <c r="Z318" s="19960"/>
      <c r="AA318" s="19960"/>
      <c r="AB318" s="19960"/>
      <c r="AC318" s="19969"/>
      <c r="AD318" s="19960">
        <v>0</v>
      </c>
    </row>
    <row s="36611" customFormat="1" customHeight="1" ht="22.5">
      <c r="A319" s="19960"/>
      <c r="B319" s="19961" t="s">
        <v>1076</v>
      </c>
      <c r="C319" s="19962" t="s">
        <v>103</v>
      </c>
      <c r="D319" s="19963" t="str">
        <f>B319&amp;".1"</f>
        <v>3.95.1</v>
      </c>
      <c r="E319" s="19964" t="s">
        <v>963</v>
      </c>
      <c r="F319" s="19965" t="s">
        <v>324</v>
      </c>
      <c r="G319" s="19966" t="s">
        <v>22</v>
      </c>
      <c r="H319" s="19967" t="s">
        <v>22</v>
      </c>
      <c r="I319" s="19966" t="s">
        <v>1064</v>
      </c>
      <c r="J319" s="19967" t="s">
        <v>22</v>
      </c>
      <c r="K319" s="19966" t="s">
        <v>22</v>
      </c>
      <c r="L319" s="19967" t="s">
        <v>22</v>
      </c>
      <c r="M319" s="19966" t="s">
        <v>22</v>
      </c>
      <c r="N319" s="19967" t="s">
        <v>22</v>
      </c>
      <c r="O319" s="29958" t="s">
        <v>22</v>
      </c>
      <c r="P319" s="29959" t="s">
        <v>22</v>
      </c>
      <c r="Q319" s="19966" t="s">
        <v>22</v>
      </c>
      <c r="R319" s="19967" t="s">
        <v>22</v>
      </c>
      <c r="S319" s="19968"/>
      <c r="T319" s="19960"/>
      <c r="U319" s="19960"/>
      <c r="V319" s="19960"/>
      <c r="W319" s="19960"/>
      <c r="X319" s="19960"/>
      <c r="Y319" s="19960"/>
      <c r="Z319" s="19960"/>
      <c r="AA319" s="19960"/>
      <c r="AB319" s="19960"/>
      <c r="AC319" s="19969"/>
      <c r="AD319" s="19960">
        <v>0</v>
      </c>
    </row>
    <row s="36612" customFormat="1" customHeight="1" ht="15">
      <c r="A320" s="19960"/>
      <c r="B320" s="19961"/>
      <c r="C320" s="19962"/>
      <c r="D320" s="19963" t="str">
        <f>B319&amp;".2"</f>
        <v>3.95.2</v>
      </c>
      <c r="E320" s="19964" t="s">
        <v>964</v>
      </c>
      <c r="F320" s="19965" t="s">
        <v>324</v>
      </c>
      <c r="G320" s="19680" t="s">
        <v>22</v>
      </c>
      <c r="H320" s="19967" t="s">
        <v>22</v>
      </c>
      <c r="I320" s="19680">
        <v>45402</v>
      </c>
      <c r="J320" s="19967" t="s">
        <v>22</v>
      </c>
      <c r="K320" s="19680" t="s">
        <v>22</v>
      </c>
      <c r="L320" s="19967" t="s">
        <v>22</v>
      </c>
      <c r="M320" s="19680" t="s">
        <v>22</v>
      </c>
      <c r="N320" s="19967" t="s">
        <v>22</v>
      </c>
      <c r="O320" s="29663" t="s">
        <v>22</v>
      </c>
      <c r="P320" s="29959" t="s">
        <v>22</v>
      </c>
      <c r="Q320" s="19680" t="s">
        <v>22</v>
      </c>
      <c r="R320" s="19967" t="s">
        <v>22</v>
      </c>
      <c r="S320" s="19968" t="s">
        <v>965</v>
      </c>
      <c r="T320" s="19960"/>
      <c r="U320" s="19960"/>
      <c r="V320" s="19960"/>
      <c r="W320" s="19960"/>
      <c r="X320" s="19960"/>
      <c r="Y320" s="19960"/>
      <c r="Z320" s="19960"/>
      <c r="AA320" s="19960"/>
      <c r="AB320" s="19960"/>
      <c r="AC320" s="19969"/>
      <c r="AD320" s="19960">
        <v>0</v>
      </c>
    </row>
    <row s="36613" customFormat="1" customHeight="1" ht="15">
      <c r="A321" s="19960"/>
      <c r="B321" s="19961"/>
      <c r="C321" s="19962"/>
      <c r="D321" s="19963" t="str">
        <f>B319&amp;".3"</f>
        <v>3.95.3</v>
      </c>
      <c r="E321" s="19964" t="s">
        <v>966</v>
      </c>
      <c r="F321" s="19965" t="s">
        <v>324</v>
      </c>
      <c r="G321" s="19680" t="s">
        <v>22</v>
      </c>
      <c r="H321" s="19967" t="s">
        <v>22</v>
      </c>
      <c r="I321" s="19680" t="s">
        <v>22</v>
      </c>
      <c r="J321" s="19967" t="s">
        <v>22</v>
      </c>
      <c r="K321" s="19680" t="s">
        <v>22</v>
      </c>
      <c r="L321" s="19967" t="s">
        <v>22</v>
      </c>
      <c r="M321" s="19680" t="s">
        <v>22</v>
      </c>
      <c r="N321" s="19967" t="s">
        <v>22</v>
      </c>
      <c r="O321" s="29663" t="s">
        <v>22</v>
      </c>
      <c r="P321" s="29959" t="s">
        <v>22</v>
      </c>
      <c r="Q321" s="19680" t="s">
        <v>22</v>
      </c>
      <c r="R321" s="19967" t="s">
        <v>22</v>
      </c>
      <c r="S321" s="19968" t="s">
        <v>967</v>
      </c>
      <c r="T321" s="19960"/>
      <c r="U321" s="19960"/>
      <c r="V321" s="19960"/>
      <c r="W321" s="19960"/>
      <c r="X321" s="19960"/>
      <c r="Y321" s="19960"/>
      <c r="Z321" s="19960"/>
      <c r="AA321" s="19960"/>
      <c r="AB321" s="19960"/>
      <c r="AC321" s="19969"/>
      <c r="AD321" s="19960">
        <v>0</v>
      </c>
    </row>
    <row s="36614" customFormat="1" customHeight="1" ht="22.5">
      <c r="A322" s="19960"/>
      <c r="B322" s="19961" t="s">
        <v>1077</v>
      </c>
      <c r="C322" s="19962" t="s">
        <v>103</v>
      </c>
      <c r="D322" s="19963" t="str">
        <f>B322&amp;".1"</f>
        <v>3.96.1</v>
      </c>
      <c r="E322" s="19964" t="s">
        <v>963</v>
      </c>
      <c r="F322" s="19965" t="s">
        <v>324</v>
      </c>
      <c r="G322" s="19966" t="s">
        <v>22</v>
      </c>
      <c r="H322" s="19967" t="s">
        <v>22</v>
      </c>
      <c r="I322" s="19966" t="s">
        <v>1064</v>
      </c>
      <c r="J322" s="19967" t="s">
        <v>22</v>
      </c>
      <c r="K322" s="19966" t="s">
        <v>22</v>
      </c>
      <c r="L322" s="19967" t="s">
        <v>22</v>
      </c>
      <c r="M322" s="19966" t="s">
        <v>22</v>
      </c>
      <c r="N322" s="19967" t="s">
        <v>22</v>
      </c>
      <c r="O322" s="29958" t="s">
        <v>22</v>
      </c>
      <c r="P322" s="29959" t="s">
        <v>22</v>
      </c>
      <c r="Q322" s="19966" t="s">
        <v>22</v>
      </c>
      <c r="R322" s="19967" t="s">
        <v>22</v>
      </c>
      <c r="S322" s="19968"/>
      <c r="T322" s="19960"/>
      <c r="U322" s="19960"/>
      <c r="V322" s="19960"/>
      <c r="W322" s="19960"/>
      <c r="X322" s="19960"/>
      <c r="Y322" s="19960"/>
      <c r="Z322" s="19960"/>
      <c r="AA322" s="19960"/>
      <c r="AB322" s="19960"/>
      <c r="AC322" s="19969"/>
      <c r="AD322" s="19960">
        <v>0</v>
      </c>
    </row>
    <row s="36615" customFormat="1" customHeight="1" ht="15">
      <c r="A323" s="19960"/>
      <c r="B323" s="19961"/>
      <c r="C323" s="19962"/>
      <c r="D323" s="19963" t="str">
        <f>B322&amp;".2"</f>
        <v>3.96.2</v>
      </c>
      <c r="E323" s="19964" t="s">
        <v>964</v>
      </c>
      <c r="F323" s="19965" t="s">
        <v>324</v>
      </c>
      <c r="G323" s="19680" t="s">
        <v>22</v>
      </c>
      <c r="H323" s="19967" t="s">
        <v>22</v>
      </c>
      <c r="I323" s="19680">
        <v>45402</v>
      </c>
      <c r="J323" s="19967" t="s">
        <v>22</v>
      </c>
      <c r="K323" s="19680" t="s">
        <v>22</v>
      </c>
      <c r="L323" s="19967" t="s">
        <v>22</v>
      </c>
      <c r="M323" s="19680" t="s">
        <v>22</v>
      </c>
      <c r="N323" s="19967" t="s">
        <v>22</v>
      </c>
      <c r="O323" s="29663" t="s">
        <v>22</v>
      </c>
      <c r="P323" s="29959" t="s">
        <v>22</v>
      </c>
      <c r="Q323" s="19680" t="s">
        <v>22</v>
      </c>
      <c r="R323" s="19967" t="s">
        <v>22</v>
      </c>
      <c r="S323" s="19968" t="s">
        <v>965</v>
      </c>
      <c r="T323" s="19960"/>
      <c r="U323" s="19960"/>
      <c r="V323" s="19960"/>
      <c r="W323" s="19960"/>
      <c r="X323" s="19960"/>
      <c r="Y323" s="19960"/>
      <c r="Z323" s="19960"/>
      <c r="AA323" s="19960"/>
      <c r="AB323" s="19960"/>
      <c r="AC323" s="19969"/>
      <c r="AD323" s="19960">
        <v>0</v>
      </c>
    </row>
    <row s="36616" customFormat="1" customHeight="1" ht="15">
      <c r="A324" s="19960"/>
      <c r="B324" s="19961"/>
      <c r="C324" s="19962"/>
      <c r="D324" s="19963" t="str">
        <f>B322&amp;".3"</f>
        <v>3.96.3</v>
      </c>
      <c r="E324" s="19964" t="s">
        <v>966</v>
      </c>
      <c r="F324" s="19965" t="s">
        <v>324</v>
      </c>
      <c r="G324" s="19680" t="s">
        <v>22</v>
      </c>
      <c r="H324" s="19967" t="s">
        <v>22</v>
      </c>
      <c r="I324" s="19680" t="s">
        <v>22</v>
      </c>
      <c r="J324" s="19967" t="s">
        <v>22</v>
      </c>
      <c r="K324" s="19680" t="s">
        <v>22</v>
      </c>
      <c r="L324" s="19967" t="s">
        <v>22</v>
      </c>
      <c r="M324" s="19680" t="s">
        <v>22</v>
      </c>
      <c r="N324" s="19967" t="s">
        <v>22</v>
      </c>
      <c r="O324" s="29663" t="s">
        <v>22</v>
      </c>
      <c r="P324" s="29959" t="s">
        <v>22</v>
      </c>
      <c r="Q324" s="19680" t="s">
        <v>22</v>
      </c>
      <c r="R324" s="19967" t="s">
        <v>22</v>
      </c>
      <c r="S324" s="19968" t="s">
        <v>967</v>
      </c>
      <c r="T324" s="19960"/>
      <c r="U324" s="19960"/>
      <c r="V324" s="19960"/>
      <c r="W324" s="19960"/>
      <c r="X324" s="19960"/>
      <c r="Y324" s="19960"/>
      <c r="Z324" s="19960"/>
      <c r="AA324" s="19960"/>
      <c r="AB324" s="19960"/>
      <c r="AC324" s="19969"/>
      <c r="AD324" s="19960">
        <v>0</v>
      </c>
    </row>
    <row s="36617" customFormat="1" customHeight="1" ht="22.5">
      <c r="A325" s="19960"/>
      <c r="B325" s="19961" t="s">
        <v>1078</v>
      </c>
      <c r="C325" s="19962" t="s">
        <v>103</v>
      </c>
      <c r="D325" s="19963" t="str">
        <f>B325&amp;".1"</f>
        <v>3.97.1</v>
      </c>
      <c r="E325" s="19964" t="s">
        <v>963</v>
      </c>
      <c r="F325" s="19965" t="s">
        <v>324</v>
      </c>
      <c r="G325" s="19966" t="s">
        <v>22</v>
      </c>
      <c r="H325" s="19967" t="s">
        <v>22</v>
      </c>
      <c r="I325" s="19966" t="s">
        <v>1064</v>
      </c>
      <c r="J325" s="19967" t="s">
        <v>22</v>
      </c>
      <c r="K325" s="19966" t="s">
        <v>22</v>
      </c>
      <c r="L325" s="19967" t="s">
        <v>22</v>
      </c>
      <c r="M325" s="19966" t="s">
        <v>22</v>
      </c>
      <c r="N325" s="19967" t="s">
        <v>22</v>
      </c>
      <c r="O325" s="29958" t="s">
        <v>22</v>
      </c>
      <c r="P325" s="29959" t="s">
        <v>22</v>
      </c>
      <c r="Q325" s="19966" t="s">
        <v>22</v>
      </c>
      <c r="R325" s="19967" t="s">
        <v>22</v>
      </c>
      <c r="S325" s="19968"/>
      <c r="T325" s="19960"/>
      <c r="U325" s="19960"/>
      <c r="V325" s="19960"/>
      <c r="W325" s="19960"/>
      <c r="X325" s="19960"/>
      <c r="Y325" s="19960"/>
      <c r="Z325" s="19960"/>
      <c r="AA325" s="19960"/>
      <c r="AB325" s="19960"/>
      <c r="AC325" s="19969"/>
      <c r="AD325" s="19960">
        <v>0</v>
      </c>
    </row>
    <row s="36618" customFormat="1" customHeight="1" ht="15">
      <c r="A326" s="19960"/>
      <c r="B326" s="19961"/>
      <c r="C326" s="19962"/>
      <c r="D326" s="19963" t="str">
        <f>B325&amp;".2"</f>
        <v>3.97.2</v>
      </c>
      <c r="E326" s="19964" t="s">
        <v>964</v>
      </c>
      <c r="F326" s="19965" t="s">
        <v>324</v>
      </c>
      <c r="G326" s="19680" t="s">
        <v>22</v>
      </c>
      <c r="H326" s="19967" t="s">
        <v>22</v>
      </c>
      <c r="I326" s="19680">
        <v>45403</v>
      </c>
      <c r="J326" s="19967" t="s">
        <v>22</v>
      </c>
      <c r="K326" s="19680" t="s">
        <v>22</v>
      </c>
      <c r="L326" s="19967" t="s">
        <v>22</v>
      </c>
      <c r="M326" s="19680" t="s">
        <v>22</v>
      </c>
      <c r="N326" s="19967" t="s">
        <v>22</v>
      </c>
      <c r="O326" s="29663" t="s">
        <v>22</v>
      </c>
      <c r="P326" s="29959" t="s">
        <v>22</v>
      </c>
      <c r="Q326" s="19680" t="s">
        <v>22</v>
      </c>
      <c r="R326" s="19967" t="s">
        <v>22</v>
      </c>
      <c r="S326" s="19968" t="s">
        <v>965</v>
      </c>
      <c r="T326" s="19960"/>
      <c r="U326" s="19960"/>
      <c r="V326" s="19960"/>
      <c r="W326" s="19960"/>
      <c r="X326" s="19960"/>
      <c r="Y326" s="19960"/>
      <c r="Z326" s="19960"/>
      <c r="AA326" s="19960"/>
      <c r="AB326" s="19960"/>
      <c r="AC326" s="19969"/>
      <c r="AD326" s="19960">
        <v>0</v>
      </c>
    </row>
    <row s="36619" customFormat="1" customHeight="1" ht="15">
      <c r="A327" s="19960"/>
      <c r="B327" s="19961"/>
      <c r="C327" s="19962"/>
      <c r="D327" s="19963" t="str">
        <f>B325&amp;".3"</f>
        <v>3.97.3</v>
      </c>
      <c r="E327" s="19964" t="s">
        <v>966</v>
      </c>
      <c r="F327" s="19965" t="s">
        <v>324</v>
      </c>
      <c r="G327" s="19680" t="s">
        <v>22</v>
      </c>
      <c r="H327" s="19967" t="s">
        <v>22</v>
      </c>
      <c r="I327" s="19680" t="s">
        <v>22</v>
      </c>
      <c r="J327" s="19967" t="s">
        <v>22</v>
      </c>
      <c r="K327" s="19680" t="s">
        <v>22</v>
      </c>
      <c r="L327" s="19967" t="s">
        <v>22</v>
      </c>
      <c r="M327" s="19680" t="s">
        <v>22</v>
      </c>
      <c r="N327" s="19967" t="s">
        <v>22</v>
      </c>
      <c r="O327" s="29663" t="s">
        <v>22</v>
      </c>
      <c r="P327" s="29959" t="s">
        <v>22</v>
      </c>
      <c r="Q327" s="19680" t="s">
        <v>22</v>
      </c>
      <c r="R327" s="19967" t="s">
        <v>22</v>
      </c>
      <c r="S327" s="19968" t="s">
        <v>967</v>
      </c>
      <c r="T327" s="19960"/>
      <c r="U327" s="19960"/>
      <c r="V327" s="19960"/>
      <c r="W327" s="19960"/>
      <c r="X327" s="19960"/>
      <c r="Y327" s="19960"/>
      <c r="Z327" s="19960"/>
      <c r="AA327" s="19960"/>
      <c r="AB327" s="19960"/>
      <c r="AC327" s="19969"/>
      <c r="AD327" s="19960">
        <v>0</v>
      </c>
    </row>
    <row s="36620" customFormat="1" customHeight="1" ht="22.5">
      <c r="A328" s="19960"/>
      <c r="B328" s="19961" t="s">
        <v>1079</v>
      </c>
      <c r="C328" s="19962" t="s">
        <v>103</v>
      </c>
      <c r="D328" s="19963" t="str">
        <f>B328&amp;".1"</f>
        <v>3.98.1</v>
      </c>
      <c r="E328" s="19964" t="s">
        <v>963</v>
      </c>
      <c r="F328" s="19965" t="s">
        <v>324</v>
      </c>
      <c r="G328" s="19966" t="s">
        <v>22</v>
      </c>
      <c r="H328" s="19967" t="s">
        <v>22</v>
      </c>
      <c r="I328" s="19966" t="s">
        <v>1071</v>
      </c>
      <c r="J328" s="19967" t="s">
        <v>22</v>
      </c>
      <c r="K328" s="19966" t="s">
        <v>22</v>
      </c>
      <c r="L328" s="19967" t="s">
        <v>22</v>
      </c>
      <c r="M328" s="19966" t="s">
        <v>22</v>
      </c>
      <c r="N328" s="19967" t="s">
        <v>22</v>
      </c>
      <c r="O328" s="29958" t="s">
        <v>22</v>
      </c>
      <c r="P328" s="29959" t="s">
        <v>22</v>
      </c>
      <c r="Q328" s="19966" t="s">
        <v>22</v>
      </c>
      <c r="R328" s="19967" t="s">
        <v>22</v>
      </c>
      <c r="S328" s="19968"/>
      <c r="T328" s="19960"/>
      <c r="U328" s="19960"/>
      <c r="V328" s="19960"/>
      <c r="W328" s="19960"/>
      <c r="X328" s="19960"/>
      <c r="Y328" s="19960"/>
      <c r="Z328" s="19960"/>
      <c r="AA328" s="19960"/>
      <c r="AB328" s="19960"/>
      <c r="AC328" s="19969"/>
      <c r="AD328" s="19960">
        <v>0</v>
      </c>
    </row>
    <row s="36621" customFormat="1" customHeight="1" ht="15">
      <c r="A329" s="19960"/>
      <c r="B329" s="19961"/>
      <c r="C329" s="19962"/>
      <c r="D329" s="19963" t="str">
        <f>B328&amp;".2"</f>
        <v>3.98.2</v>
      </c>
      <c r="E329" s="19964" t="s">
        <v>964</v>
      </c>
      <c r="F329" s="19965" t="s">
        <v>324</v>
      </c>
      <c r="G329" s="19680" t="s">
        <v>22</v>
      </c>
      <c r="H329" s="19967" t="s">
        <v>22</v>
      </c>
      <c r="I329" s="19680">
        <v>45404</v>
      </c>
      <c r="J329" s="19967" t="s">
        <v>22</v>
      </c>
      <c r="K329" s="19680" t="s">
        <v>22</v>
      </c>
      <c r="L329" s="19967" t="s">
        <v>22</v>
      </c>
      <c r="M329" s="19680" t="s">
        <v>22</v>
      </c>
      <c r="N329" s="19967" t="s">
        <v>22</v>
      </c>
      <c r="O329" s="29663" t="s">
        <v>22</v>
      </c>
      <c r="P329" s="29959" t="s">
        <v>22</v>
      </c>
      <c r="Q329" s="19680" t="s">
        <v>22</v>
      </c>
      <c r="R329" s="19967" t="s">
        <v>22</v>
      </c>
      <c r="S329" s="19968" t="s">
        <v>965</v>
      </c>
      <c r="T329" s="19960"/>
      <c r="U329" s="19960"/>
      <c r="V329" s="19960"/>
      <c r="W329" s="19960"/>
      <c r="X329" s="19960"/>
      <c r="Y329" s="19960"/>
      <c r="Z329" s="19960"/>
      <c r="AA329" s="19960"/>
      <c r="AB329" s="19960"/>
      <c r="AC329" s="19969"/>
      <c r="AD329" s="19960">
        <v>0</v>
      </c>
    </row>
    <row s="36622" customFormat="1" customHeight="1" ht="15">
      <c r="A330" s="19960"/>
      <c r="B330" s="19961"/>
      <c r="C330" s="19962"/>
      <c r="D330" s="19963" t="str">
        <f>B328&amp;".3"</f>
        <v>3.98.3</v>
      </c>
      <c r="E330" s="19964" t="s">
        <v>966</v>
      </c>
      <c r="F330" s="19965" t="s">
        <v>324</v>
      </c>
      <c r="G330" s="19680" t="s">
        <v>22</v>
      </c>
      <c r="H330" s="19967" t="s">
        <v>22</v>
      </c>
      <c r="I330" s="19680" t="s">
        <v>22</v>
      </c>
      <c r="J330" s="19967" t="s">
        <v>22</v>
      </c>
      <c r="K330" s="19680" t="s">
        <v>22</v>
      </c>
      <c r="L330" s="19967" t="s">
        <v>22</v>
      </c>
      <c r="M330" s="19680" t="s">
        <v>22</v>
      </c>
      <c r="N330" s="19967" t="s">
        <v>22</v>
      </c>
      <c r="O330" s="29663" t="s">
        <v>22</v>
      </c>
      <c r="P330" s="29959" t="s">
        <v>22</v>
      </c>
      <c r="Q330" s="19680" t="s">
        <v>22</v>
      </c>
      <c r="R330" s="19967" t="s">
        <v>22</v>
      </c>
      <c r="S330" s="19968" t="s">
        <v>967</v>
      </c>
      <c r="T330" s="19960"/>
      <c r="U330" s="19960"/>
      <c r="V330" s="19960"/>
      <c r="W330" s="19960"/>
      <c r="X330" s="19960"/>
      <c r="Y330" s="19960"/>
      <c r="Z330" s="19960"/>
      <c r="AA330" s="19960"/>
      <c r="AB330" s="19960"/>
      <c r="AC330" s="19969"/>
      <c r="AD330" s="19960">
        <v>0</v>
      </c>
    </row>
    <row s="36623" customFormat="1" customHeight="1" ht="22.5">
      <c r="A331" s="19960"/>
      <c r="B331" s="19961" t="s">
        <v>1080</v>
      </c>
      <c r="C331" s="19962" t="s">
        <v>103</v>
      </c>
      <c r="D331" s="19963" t="str">
        <f>B331&amp;".1"</f>
        <v>3.99.1</v>
      </c>
      <c r="E331" s="19964" t="s">
        <v>963</v>
      </c>
      <c r="F331" s="19965" t="s">
        <v>324</v>
      </c>
      <c r="G331" s="19966" t="s">
        <v>22</v>
      </c>
      <c r="H331" s="19967" t="s">
        <v>22</v>
      </c>
      <c r="I331" s="19966" t="s">
        <v>1071</v>
      </c>
      <c r="J331" s="19967" t="s">
        <v>22</v>
      </c>
      <c r="K331" s="19966" t="s">
        <v>22</v>
      </c>
      <c r="L331" s="19967" t="s">
        <v>22</v>
      </c>
      <c r="M331" s="19966" t="s">
        <v>22</v>
      </c>
      <c r="N331" s="19967" t="s">
        <v>22</v>
      </c>
      <c r="O331" s="29958" t="s">
        <v>22</v>
      </c>
      <c r="P331" s="29959" t="s">
        <v>22</v>
      </c>
      <c r="Q331" s="19966" t="s">
        <v>22</v>
      </c>
      <c r="R331" s="19967" t="s">
        <v>22</v>
      </c>
      <c r="S331" s="19968"/>
      <c r="T331" s="19960"/>
      <c r="U331" s="19960"/>
      <c r="V331" s="19960"/>
      <c r="W331" s="19960"/>
      <c r="X331" s="19960"/>
      <c r="Y331" s="19960"/>
      <c r="Z331" s="19960"/>
      <c r="AA331" s="19960"/>
      <c r="AB331" s="19960"/>
      <c r="AC331" s="19969"/>
      <c r="AD331" s="19960">
        <v>0</v>
      </c>
    </row>
    <row s="36624" customFormat="1" customHeight="1" ht="15">
      <c r="A332" s="19960"/>
      <c r="B332" s="19961"/>
      <c r="C332" s="19962"/>
      <c r="D332" s="19963" t="str">
        <f>B331&amp;".2"</f>
        <v>3.99.2</v>
      </c>
      <c r="E332" s="19964" t="s">
        <v>964</v>
      </c>
      <c r="F332" s="19965" t="s">
        <v>324</v>
      </c>
      <c r="G332" s="19680" t="s">
        <v>22</v>
      </c>
      <c r="H332" s="19967" t="s">
        <v>22</v>
      </c>
      <c r="I332" s="19680">
        <v>45404</v>
      </c>
      <c r="J332" s="19967" t="s">
        <v>22</v>
      </c>
      <c r="K332" s="19680" t="s">
        <v>22</v>
      </c>
      <c r="L332" s="19967" t="s">
        <v>22</v>
      </c>
      <c r="M332" s="19680" t="s">
        <v>22</v>
      </c>
      <c r="N332" s="19967" t="s">
        <v>22</v>
      </c>
      <c r="O332" s="29663" t="s">
        <v>22</v>
      </c>
      <c r="P332" s="29959" t="s">
        <v>22</v>
      </c>
      <c r="Q332" s="19680" t="s">
        <v>22</v>
      </c>
      <c r="R332" s="19967" t="s">
        <v>22</v>
      </c>
      <c r="S332" s="19968" t="s">
        <v>965</v>
      </c>
      <c r="T332" s="19960"/>
      <c r="U332" s="19960"/>
      <c r="V332" s="19960"/>
      <c r="W332" s="19960"/>
      <c r="X332" s="19960"/>
      <c r="Y332" s="19960"/>
      <c r="Z332" s="19960"/>
      <c r="AA332" s="19960"/>
      <c r="AB332" s="19960"/>
      <c r="AC332" s="19969"/>
      <c r="AD332" s="19960">
        <v>0</v>
      </c>
    </row>
    <row s="36625" customFormat="1" customHeight="1" ht="15">
      <c r="A333" s="19960"/>
      <c r="B333" s="19961"/>
      <c r="C333" s="19962"/>
      <c r="D333" s="19963" t="str">
        <f>B331&amp;".3"</f>
        <v>3.99.3</v>
      </c>
      <c r="E333" s="19964" t="s">
        <v>966</v>
      </c>
      <c r="F333" s="19965" t="s">
        <v>324</v>
      </c>
      <c r="G333" s="19680" t="s">
        <v>22</v>
      </c>
      <c r="H333" s="19967" t="s">
        <v>22</v>
      </c>
      <c r="I333" s="19680" t="s">
        <v>22</v>
      </c>
      <c r="J333" s="19967" t="s">
        <v>22</v>
      </c>
      <c r="K333" s="19680" t="s">
        <v>22</v>
      </c>
      <c r="L333" s="19967" t="s">
        <v>22</v>
      </c>
      <c r="M333" s="19680" t="s">
        <v>22</v>
      </c>
      <c r="N333" s="19967" t="s">
        <v>22</v>
      </c>
      <c r="O333" s="29663" t="s">
        <v>22</v>
      </c>
      <c r="P333" s="29959" t="s">
        <v>22</v>
      </c>
      <c r="Q333" s="19680" t="s">
        <v>22</v>
      </c>
      <c r="R333" s="19967" t="s">
        <v>22</v>
      </c>
      <c r="S333" s="19968" t="s">
        <v>967</v>
      </c>
      <c r="T333" s="19960"/>
      <c r="U333" s="19960"/>
      <c r="V333" s="19960"/>
      <c r="W333" s="19960"/>
      <c r="X333" s="19960"/>
      <c r="Y333" s="19960"/>
      <c r="Z333" s="19960"/>
      <c r="AA333" s="19960"/>
      <c r="AB333" s="19960"/>
      <c r="AC333" s="19969"/>
      <c r="AD333" s="19960">
        <v>0</v>
      </c>
    </row>
    <row s="36626" customFormat="1" customHeight="1" ht="22.5">
      <c r="A334" s="19960"/>
      <c r="B334" s="19961" t="s">
        <v>1081</v>
      </c>
      <c r="C334" s="19962" t="s">
        <v>103</v>
      </c>
      <c r="D334" s="19963" t="str">
        <f>B334&amp;".1"</f>
        <v>3.100.1</v>
      </c>
      <c r="E334" s="19964" t="s">
        <v>963</v>
      </c>
      <c r="F334" s="19965" t="s">
        <v>324</v>
      </c>
      <c r="G334" s="19966" t="s">
        <v>22</v>
      </c>
      <c r="H334" s="19967" t="s">
        <v>22</v>
      </c>
      <c r="I334" s="19966" t="s">
        <v>1064</v>
      </c>
      <c r="J334" s="19967" t="s">
        <v>22</v>
      </c>
      <c r="K334" s="19966" t="s">
        <v>22</v>
      </c>
      <c r="L334" s="19967" t="s">
        <v>22</v>
      </c>
      <c r="M334" s="19966" t="s">
        <v>22</v>
      </c>
      <c r="N334" s="19967" t="s">
        <v>22</v>
      </c>
      <c r="O334" s="29958" t="s">
        <v>22</v>
      </c>
      <c r="P334" s="29959" t="s">
        <v>22</v>
      </c>
      <c r="Q334" s="19966" t="s">
        <v>22</v>
      </c>
      <c r="R334" s="19967" t="s">
        <v>22</v>
      </c>
      <c r="S334" s="19968"/>
      <c r="T334" s="19960"/>
      <c r="U334" s="19960"/>
      <c r="V334" s="19960"/>
      <c r="W334" s="19960"/>
      <c r="X334" s="19960"/>
      <c r="Y334" s="19960"/>
      <c r="Z334" s="19960"/>
      <c r="AA334" s="19960"/>
      <c r="AB334" s="19960"/>
      <c r="AC334" s="19969"/>
      <c r="AD334" s="19960">
        <v>0</v>
      </c>
    </row>
    <row s="36627" customFormat="1" customHeight="1" ht="15">
      <c r="A335" s="19960"/>
      <c r="B335" s="19961"/>
      <c r="C335" s="19962"/>
      <c r="D335" s="19963" t="str">
        <f>B334&amp;".2"</f>
        <v>3.100.2</v>
      </c>
      <c r="E335" s="19964" t="s">
        <v>964</v>
      </c>
      <c r="F335" s="19965" t="s">
        <v>324</v>
      </c>
      <c r="G335" s="19680" t="s">
        <v>22</v>
      </c>
      <c r="H335" s="19967" t="s">
        <v>22</v>
      </c>
      <c r="I335" s="19680">
        <v>45404</v>
      </c>
      <c r="J335" s="19967" t="s">
        <v>22</v>
      </c>
      <c r="K335" s="19680" t="s">
        <v>22</v>
      </c>
      <c r="L335" s="19967" t="s">
        <v>22</v>
      </c>
      <c r="M335" s="19680" t="s">
        <v>22</v>
      </c>
      <c r="N335" s="19967" t="s">
        <v>22</v>
      </c>
      <c r="O335" s="29663" t="s">
        <v>22</v>
      </c>
      <c r="P335" s="29959" t="s">
        <v>22</v>
      </c>
      <c r="Q335" s="19680" t="s">
        <v>22</v>
      </c>
      <c r="R335" s="19967" t="s">
        <v>22</v>
      </c>
      <c r="S335" s="19968" t="s">
        <v>965</v>
      </c>
      <c r="T335" s="19960"/>
      <c r="U335" s="19960"/>
      <c r="V335" s="19960"/>
      <c r="W335" s="19960"/>
      <c r="X335" s="19960"/>
      <c r="Y335" s="19960"/>
      <c r="Z335" s="19960"/>
      <c r="AA335" s="19960"/>
      <c r="AB335" s="19960"/>
      <c r="AC335" s="19969"/>
      <c r="AD335" s="19960">
        <v>0</v>
      </c>
    </row>
    <row s="36628" customFormat="1" customHeight="1" ht="15">
      <c r="A336" s="19960"/>
      <c r="B336" s="19961"/>
      <c r="C336" s="19962"/>
      <c r="D336" s="19963" t="str">
        <f>B334&amp;".3"</f>
        <v>3.100.3</v>
      </c>
      <c r="E336" s="19964" t="s">
        <v>966</v>
      </c>
      <c r="F336" s="19965" t="s">
        <v>324</v>
      </c>
      <c r="G336" s="19680" t="s">
        <v>22</v>
      </c>
      <c r="H336" s="19967" t="s">
        <v>22</v>
      </c>
      <c r="I336" s="19680" t="s">
        <v>22</v>
      </c>
      <c r="J336" s="19967" t="s">
        <v>22</v>
      </c>
      <c r="K336" s="19680" t="s">
        <v>22</v>
      </c>
      <c r="L336" s="19967" t="s">
        <v>22</v>
      </c>
      <c r="M336" s="19680" t="s">
        <v>22</v>
      </c>
      <c r="N336" s="19967" t="s">
        <v>22</v>
      </c>
      <c r="O336" s="29663" t="s">
        <v>22</v>
      </c>
      <c r="P336" s="29959" t="s">
        <v>22</v>
      </c>
      <c r="Q336" s="19680" t="s">
        <v>22</v>
      </c>
      <c r="R336" s="19967" t="s">
        <v>22</v>
      </c>
      <c r="S336" s="19968" t="s">
        <v>967</v>
      </c>
      <c r="T336" s="19960"/>
      <c r="U336" s="19960"/>
      <c r="V336" s="19960"/>
      <c r="W336" s="19960"/>
      <c r="X336" s="19960"/>
      <c r="Y336" s="19960"/>
      <c r="Z336" s="19960"/>
      <c r="AA336" s="19960"/>
      <c r="AB336" s="19960"/>
      <c r="AC336" s="19969"/>
      <c r="AD336" s="19960">
        <v>0</v>
      </c>
    </row>
    <row s="36629" customFormat="1" customHeight="1" ht="22.5">
      <c r="A337" s="19960"/>
      <c r="B337" s="19961" t="s">
        <v>1082</v>
      </c>
      <c r="C337" s="19962" t="s">
        <v>103</v>
      </c>
      <c r="D337" s="19963" t="str">
        <f>B337&amp;".1"</f>
        <v>3.101.1</v>
      </c>
      <c r="E337" s="19964" t="s">
        <v>963</v>
      </c>
      <c r="F337" s="19965" t="s">
        <v>324</v>
      </c>
      <c r="G337" s="19966" t="s">
        <v>22</v>
      </c>
      <c r="H337" s="19967" t="s">
        <v>22</v>
      </c>
      <c r="I337" s="19966" t="s">
        <v>1064</v>
      </c>
      <c r="J337" s="19967" t="s">
        <v>22</v>
      </c>
      <c r="K337" s="19966" t="s">
        <v>22</v>
      </c>
      <c r="L337" s="19967" t="s">
        <v>22</v>
      </c>
      <c r="M337" s="19966" t="s">
        <v>22</v>
      </c>
      <c r="N337" s="19967" t="s">
        <v>22</v>
      </c>
      <c r="O337" s="29958" t="s">
        <v>22</v>
      </c>
      <c r="P337" s="29959" t="s">
        <v>22</v>
      </c>
      <c r="Q337" s="19966" t="s">
        <v>22</v>
      </c>
      <c r="R337" s="19967" t="s">
        <v>22</v>
      </c>
      <c r="S337" s="19968"/>
      <c r="T337" s="19960"/>
      <c r="U337" s="19960"/>
      <c r="V337" s="19960"/>
      <c r="W337" s="19960"/>
      <c r="X337" s="19960"/>
      <c r="Y337" s="19960"/>
      <c r="Z337" s="19960"/>
      <c r="AA337" s="19960"/>
      <c r="AB337" s="19960"/>
      <c r="AC337" s="19969"/>
      <c r="AD337" s="19960">
        <v>0</v>
      </c>
    </row>
    <row s="36630" customFormat="1" customHeight="1" ht="15">
      <c r="A338" s="19960"/>
      <c r="B338" s="19961"/>
      <c r="C338" s="19962"/>
      <c r="D338" s="19963" t="str">
        <f>B337&amp;".2"</f>
        <v>3.101.2</v>
      </c>
      <c r="E338" s="19964" t="s">
        <v>964</v>
      </c>
      <c r="F338" s="19965" t="s">
        <v>324</v>
      </c>
      <c r="G338" s="19680" t="s">
        <v>22</v>
      </c>
      <c r="H338" s="19967" t="s">
        <v>22</v>
      </c>
      <c r="I338" s="19680">
        <v>45404</v>
      </c>
      <c r="J338" s="19967" t="s">
        <v>22</v>
      </c>
      <c r="K338" s="19680" t="s">
        <v>22</v>
      </c>
      <c r="L338" s="19967" t="s">
        <v>22</v>
      </c>
      <c r="M338" s="19680" t="s">
        <v>22</v>
      </c>
      <c r="N338" s="19967" t="s">
        <v>22</v>
      </c>
      <c r="O338" s="29663" t="s">
        <v>22</v>
      </c>
      <c r="P338" s="29959" t="s">
        <v>22</v>
      </c>
      <c r="Q338" s="19680" t="s">
        <v>22</v>
      </c>
      <c r="R338" s="19967" t="s">
        <v>22</v>
      </c>
      <c r="S338" s="19968" t="s">
        <v>965</v>
      </c>
      <c r="T338" s="19960"/>
      <c r="U338" s="19960"/>
      <c r="V338" s="19960"/>
      <c r="W338" s="19960"/>
      <c r="X338" s="19960"/>
      <c r="Y338" s="19960"/>
      <c r="Z338" s="19960"/>
      <c r="AA338" s="19960"/>
      <c r="AB338" s="19960"/>
      <c r="AC338" s="19969"/>
      <c r="AD338" s="19960">
        <v>0</v>
      </c>
    </row>
    <row s="36631" customFormat="1" customHeight="1" ht="15">
      <c r="A339" s="19960"/>
      <c r="B339" s="19961"/>
      <c r="C339" s="19962"/>
      <c r="D339" s="19963" t="str">
        <f>B337&amp;".3"</f>
        <v>3.101.3</v>
      </c>
      <c r="E339" s="19964" t="s">
        <v>966</v>
      </c>
      <c r="F339" s="19965" t="s">
        <v>324</v>
      </c>
      <c r="G339" s="19680" t="s">
        <v>22</v>
      </c>
      <c r="H339" s="19967" t="s">
        <v>22</v>
      </c>
      <c r="I339" s="19680" t="s">
        <v>22</v>
      </c>
      <c r="J339" s="19967" t="s">
        <v>22</v>
      </c>
      <c r="K339" s="19680" t="s">
        <v>22</v>
      </c>
      <c r="L339" s="19967" t="s">
        <v>22</v>
      </c>
      <c r="M339" s="19680" t="s">
        <v>22</v>
      </c>
      <c r="N339" s="19967" t="s">
        <v>22</v>
      </c>
      <c r="O339" s="29663" t="s">
        <v>22</v>
      </c>
      <c r="P339" s="29959" t="s">
        <v>22</v>
      </c>
      <c r="Q339" s="19680" t="s">
        <v>22</v>
      </c>
      <c r="R339" s="19967" t="s">
        <v>22</v>
      </c>
      <c r="S339" s="19968" t="s">
        <v>967</v>
      </c>
      <c r="T339" s="19960"/>
      <c r="U339" s="19960"/>
      <c r="V339" s="19960"/>
      <c r="W339" s="19960"/>
      <c r="X339" s="19960"/>
      <c r="Y339" s="19960"/>
      <c r="Z339" s="19960"/>
      <c r="AA339" s="19960"/>
      <c r="AB339" s="19960"/>
      <c r="AC339" s="19969"/>
      <c r="AD339" s="19960">
        <v>0</v>
      </c>
    </row>
    <row s="36632" customFormat="1" customHeight="1" ht="22.5">
      <c r="A340" s="19960"/>
      <c r="B340" s="19961" t="s">
        <v>1083</v>
      </c>
      <c r="C340" s="19962" t="s">
        <v>103</v>
      </c>
      <c r="D340" s="19963" t="str">
        <f>B340&amp;".1"</f>
        <v>3.102.1</v>
      </c>
      <c r="E340" s="19964" t="s">
        <v>963</v>
      </c>
      <c r="F340" s="19965" t="s">
        <v>324</v>
      </c>
      <c r="G340" s="19966" t="s">
        <v>22</v>
      </c>
      <c r="H340" s="19967" t="s">
        <v>22</v>
      </c>
      <c r="I340" s="19966" t="s">
        <v>1064</v>
      </c>
      <c r="J340" s="19967" t="s">
        <v>22</v>
      </c>
      <c r="K340" s="19966" t="s">
        <v>22</v>
      </c>
      <c r="L340" s="19967" t="s">
        <v>22</v>
      </c>
      <c r="M340" s="19966" t="s">
        <v>22</v>
      </c>
      <c r="N340" s="19967" t="s">
        <v>22</v>
      </c>
      <c r="O340" s="29958" t="s">
        <v>22</v>
      </c>
      <c r="P340" s="29959" t="s">
        <v>22</v>
      </c>
      <c r="Q340" s="19966" t="s">
        <v>22</v>
      </c>
      <c r="R340" s="19967" t="s">
        <v>22</v>
      </c>
      <c r="S340" s="19968"/>
      <c r="T340" s="19960"/>
      <c r="U340" s="19960"/>
      <c r="V340" s="19960"/>
      <c r="W340" s="19960"/>
      <c r="X340" s="19960"/>
      <c r="Y340" s="19960"/>
      <c r="Z340" s="19960"/>
      <c r="AA340" s="19960"/>
      <c r="AB340" s="19960"/>
      <c r="AC340" s="19969"/>
      <c r="AD340" s="19960">
        <v>0</v>
      </c>
    </row>
    <row s="36633" customFormat="1" customHeight="1" ht="15">
      <c r="A341" s="19960"/>
      <c r="B341" s="19961"/>
      <c r="C341" s="19962"/>
      <c r="D341" s="19963" t="str">
        <f>B340&amp;".2"</f>
        <v>3.102.2</v>
      </c>
      <c r="E341" s="19964" t="s">
        <v>964</v>
      </c>
      <c r="F341" s="19965" t="s">
        <v>324</v>
      </c>
      <c r="G341" s="19680" t="s">
        <v>22</v>
      </c>
      <c r="H341" s="19967" t="s">
        <v>22</v>
      </c>
      <c r="I341" s="19680">
        <v>45404</v>
      </c>
      <c r="J341" s="19967" t="s">
        <v>22</v>
      </c>
      <c r="K341" s="19680" t="s">
        <v>22</v>
      </c>
      <c r="L341" s="19967" t="s">
        <v>22</v>
      </c>
      <c r="M341" s="19680" t="s">
        <v>22</v>
      </c>
      <c r="N341" s="19967" t="s">
        <v>22</v>
      </c>
      <c r="O341" s="29663" t="s">
        <v>22</v>
      </c>
      <c r="P341" s="29959" t="s">
        <v>22</v>
      </c>
      <c r="Q341" s="19680" t="s">
        <v>22</v>
      </c>
      <c r="R341" s="19967" t="s">
        <v>22</v>
      </c>
      <c r="S341" s="19968" t="s">
        <v>965</v>
      </c>
      <c r="T341" s="19960"/>
      <c r="U341" s="19960"/>
      <c r="V341" s="19960"/>
      <c r="W341" s="19960"/>
      <c r="X341" s="19960"/>
      <c r="Y341" s="19960"/>
      <c r="Z341" s="19960"/>
      <c r="AA341" s="19960"/>
      <c r="AB341" s="19960"/>
      <c r="AC341" s="19969"/>
      <c r="AD341" s="19960">
        <v>0</v>
      </c>
    </row>
    <row s="36634" customFormat="1" customHeight="1" ht="15">
      <c r="A342" s="19960"/>
      <c r="B342" s="19961"/>
      <c r="C342" s="19962"/>
      <c r="D342" s="19963" t="str">
        <f>B340&amp;".3"</f>
        <v>3.102.3</v>
      </c>
      <c r="E342" s="19964" t="s">
        <v>966</v>
      </c>
      <c r="F342" s="19965" t="s">
        <v>324</v>
      </c>
      <c r="G342" s="19680" t="s">
        <v>22</v>
      </c>
      <c r="H342" s="19967" t="s">
        <v>22</v>
      </c>
      <c r="I342" s="19680" t="s">
        <v>22</v>
      </c>
      <c r="J342" s="19967" t="s">
        <v>22</v>
      </c>
      <c r="K342" s="19680" t="s">
        <v>22</v>
      </c>
      <c r="L342" s="19967" t="s">
        <v>22</v>
      </c>
      <c r="M342" s="19680" t="s">
        <v>22</v>
      </c>
      <c r="N342" s="19967" t="s">
        <v>22</v>
      </c>
      <c r="O342" s="29663" t="s">
        <v>22</v>
      </c>
      <c r="P342" s="29959" t="s">
        <v>22</v>
      </c>
      <c r="Q342" s="19680" t="s">
        <v>22</v>
      </c>
      <c r="R342" s="19967" t="s">
        <v>22</v>
      </c>
      <c r="S342" s="19968" t="s">
        <v>967</v>
      </c>
      <c r="T342" s="19960"/>
      <c r="U342" s="19960"/>
      <c r="V342" s="19960"/>
      <c r="W342" s="19960"/>
      <c r="X342" s="19960"/>
      <c r="Y342" s="19960"/>
      <c r="Z342" s="19960"/>
      <c r="AA342" s="19960"/>
      <c r="AB342" s="19960"/>
      <c r="AC342" s="19969"/>
      <c r="AD342" s="19960">
        <v>0</v>
      </c>
    </row>
    <row s="36635" customFormat="1" customHeight="1" ht="22.5">
      <c r="A343" s="19960"/>
      <c r="B343" s="19961" t="s">
        <v>1084</v>
      </c>
      <c r="C343" s="19962" t="s">
        <v>103</v>
      </c>
      <c r="D343" s="19963" t="str">
        <f>B343&amp;".1"</f>
        <v>3.103.1</v>
      </c>
      <c r="E343" s="19964" t="s">
        <v>963</v>
      </c>
      <c r="F343" s="19965" t="s">
        <v>324</v>
      </c>
      <c r="G343" s="19966" t="s">
        <v>22</v>
      </c>
      <c r="H343" s="19967" t="s">
        <v>22</v>
      </c>
      <c r="I343" s="19966" t="s">
        <v>1064</v>
      </c>
      <c r="J343" s="19967" t="s">
        <v>22</v>
      </c>
      <c r="K343" s="19966" t="s">
        <v>22</v>
      </c>
      <c r="L343" s="19967" t="s">
        <v>22</v>
      </c>
      <c r="M343" s="19966" t="s">
        <v>22</v>
      </c>
      <c r="N343" s="19967" t="s">
        <v>22</v>
      </c>
      <c r="O343" s="29958" t="s">
        <v>22</v>
      </c>
      <c r="P343" s="29959" t="s">
        <v>22</v>
      </c>
      <c r="Q343" s="19966" t="s">
        <v>22</v>
      </c>
      <c r="R343" s="19967" t="s">
        <v>22</v>
      </c>
      <c r="S343" s="19968"/>
      <c r="T343" s="19960"/>
      <c r="U343" s="19960"/>
      <c r="V343" s="19960"/>
      <c r="W343" s="19960"/>
      <c r="X343" s="19960"/>
      <c r="Y343" s="19960"/>
      <c r="Z343" s="19960"/>
      <c r="AA343" s="19960"/>
      <c r="AB343" s="19960"/>
      <c r="AC343" s="19969"/>
      <c r="AD343" s="19960">
        <v>0</v>
      </c>
    </row>
    <row s="36636" customFormat="1" customHeight="1" ht="15">
      <c r="A344" s="19960"/>
      <c r="B344" s="19961"/>
      <c r="C344" s="19962"/>
      <c r="D344" s="19963" t="str">
        <f>B343&amp;".2"</f>
        <v>3.103.2</v>
      </c>
      <c r="E344" s="19964" t="s">
        <v>964</v>
      </c>
      <c r="F344" s="19965" t="s">
        <v>324</v>
      </c>
      <c r="G344" s="19680" t="s">
        <v>22</v>
      </c>
      <c r="H344" s="19967" t="s">
        <v>22</v>
      </c>
      <c r="I344" s="19680">
        <v>45404</v>
      </c>
      <c r="J344" s="19967" t="s">
        <v>22</v>
      </c>
      <c r="K344" s="19680" t="s">
        <v>22</v>
      </c>
      <c r="L344" s="19967" t="s">
        <v>22</v>
      </c>
      <c r="M344" s="19680" t="s">
        <v>22</v>
      </c>
      <c r="N344" s="19967" t="s">
        <v>22</v>
      </c>
      <c r="O344" s="29663" t="s">
        <v>22</v>
      </c>
      <c r="P344" s="29959" t="s">
        <v>22</v>
      </c>
      <c r="Q344" s="19680" t="s">
        <v>22</v>
      </c>
      <c r="R344" s="19967" t="s">
        <v>22</v>
      </c>
      <c r="S344" s="19968" t="s">
        <v>965</v>
      </c>
      <c r="T344" s="19960"/>
      <c r="U344" s="19960"/>
      <c r="V344" s="19960"/>
      <c r="W344" s="19960"/>
      <c r="X344" s="19960"/>
      <c r="Y344" s="19960"/>
      <c r="Z344" s="19960"/>
      <c r="AA344" s="19960"/>
      <c r="AB344" s="19960"/>
      <c r="AC344" s="19969"/>
      <c r="AD344" s="19960">
        <v>0</v>
      </c>
    </row>
    <row s="36637" customFormat="1" customHeight="1" ht="15">
      <c r="A345" s="19960"/>
      <c r="B345" s="19961"/>
      <c r="C345" s="19962"/>
      <c r="D345" s="19963" t="str">
        <f>B343&amp;".3"</f>
        <v>3.103.3</v>
      </c>
      <c r="E345" s="19964" t="s">
        <v>966</v>
      </c>
      <c r="F345" s="19965" t="s">
        <v>324</v>
      </c>
      <c r="G345" s="19680" t="s">
        <v>22</v>
      </c>
      <c r="H345" s="19967" t="s">
        <v>22</v>
      </c>
      <c r="I345" s="19680" t="s">
        <v>22</v>
      </c>
      <c r="J345" s="19967" t="s">
        <v>22</v>
      </c>
      <c r="K345" s="19680" t="s">
        <v>22</v>
      </c>
      <c r="L345" s="19967" t="s">
        <v>22</v>
      </c>
      <c r="M345" s="19680" t="s">
        <v>22</v>
      </c>
      <c r="N345" s="19967" t="s">
        <v>22</v>
      </c>
      <c r="O345" s="29663" t="s">
        <v>22</v>
      </c>
      <c r="P345" s="29959" t="s">
        <v>22</v>
      </c>
      <c r="Q345" s="19680" t="s">
        <v>22</v>
      </c>
      <c r="R345" s="19967" t="s">
        <v>22</v>
      </c>
      <c r="S345" s="19968" t="s">
        <v>967</v>
      </c>
      <c r="T345" s="19960"/>
      <c r="U345" s="19960"/>
      <c r="V345" s="19960"/>
      <c r="W345" s="19960"/>
      <c r="X345" s="19960"/>
      <c r="Y345" s="19960"/>
      <c r="Z345" s="19960"/>
      <c r="AA345" s="19960"/>
      <c r="AB345" s="19960"/>
      <c r="AC345" s="19969"/>
      <c r="AD345" s="19960">
        <v>0</v>
      </c>
    </row>
    <row s="36638" customFormat="1" customHeight="1" ht="22.5">
      <c r="A346" s="19960"/>
      <c r="B346" s="19961" t="s">
        <v>1085</v>
      </c>
      <c r="C346" s="19962" t="s">
        <v>103</v>
      </c>
      <c r="D346" s="19963" t="str">
        <f>B346&amp;".1"</f>
        <v>3.104.1</v>
      </c>
      <c r="E346" s="19964" t="s">
        <v>963</v>
      </c>
      <c r="F346" s="19965" t="s">
        <v>324</v>
      </c>
      <c r="G346" s="19966" t="s">
        <v>22</v>
      </c>
      <c r="H346" s="19967" t="s">
        <v>22</v>
      </c>
      <c r="I346" s="19966" t="s">
        <v>1064</v>
      </c>
      <c r="J346" s="19967" t="s">
        <v>22</v>
      </c>
      <c r="K346" s="19966" t="s">
        <v>22</v>
      </c>
      <c r="L346" s="19967" t="s">
        <v>22</v>
      </c>
      <c r="M346" s="19966" t="s">
        <v>22</v>
      </c>
      <c r="N346" s="19967" t="s">
        <v>22</v>
      </c>
      <c r="O346" s="29958" t="s">
        <v>22</v>
      </c>
      <c r="P346" s="29959" t="s">
        <v>22</v>
      </c>
      <c r="Q346" s="19966" t="s">
        <v>22</v>
      </c>
      <c r="R346" s="19967" t="s">
        <v>22</v>
      </c>
      <c r="S346" s="19968"/>
      <c r="T346" s="19960"/>
      <c r="U346" s="19960"/>
      <c r="V346" s="19960"/>
      <c r="W346" s="19960"/>
      <c r="X346" s="19960"/>
      <c r="Y346" s="19960"/>
      <c r="Z346" s="19960"/>
      <c r="AA346" s="19960"/>
      <c r="AB346" s="19960"/>
      <c r="AC346" s="19969"/>
      <c r="AD346" s="19960">
        <v>0</v>
      </c>
    </row>
    <row s="36639" customFormat="1" customHeight="1" ht="15">
      <c r="A347" s="19960"/>
      <c r="B347" s="19961"/>
      <c r="C347" s="19962"/>
      <c r="D347" s="19963" t="str">
        <f>B346&amp;".2"</f>
        <v>3.104.2</v>
      </c>
      <c r="E347" s="19964" t="s">
        <v>964</v>
      </c>
      <c r="F347" s="19965" t="s">
        <v>324</v>
      </c>
      <c r="G347" s="19680" t="s">
        <v>22</v>
      </c>
      <c r="H347" s="19967" t="s">
        <v>22</v>
      </c>
      <c r="I347" s="19680">
        <v>45404</v>
      </c>
      <c r="J347" s="19967" t="s">
        <v>22</v>
      </c>
      <c r="K347" s="19680" t="s">
        <v>22</v>
      </c>
      <c r="L347" s="19967" t="s">
        <v>22</v>
      </c>
      <c r="M347" s="19680" t="s">
        <v>22</v>
      </c>
      <c r="N347" s="19967" t="s">
        <v>22</v>
      </c>
      <c r="O347" s="29663" t="s">
        <v>22</v>
      </c>
      <c r="P347" s="29959" t="s">
        <v>22</v>
      </c>
      <c r="Q347" s="19680" t="s">
        <v>22</v>
      </c>
      <c r="R347" s="19967" t="s">
        <v>22</v>
      </c>
      <c r="S347" s="19968" t="s">
        <v>965</v>
      </c>
      <c r="T347" s="19960"/>
      <c r="U347" s="19960"/>
      <c r="V347" s="19960"/>
      <c r="W347" s="19960"/>
      <c r="X347" s="19960"/>
      <c r="Y347" s="19960"/>
      <c r="Z347" s="19960"/>
      <c r="AA347" s="19960"/>
      <c r="AB347" s="19960"/>
      <c r="AC347" s="19969"/>
      <c r="AD347" s="19960">
        <v>0</v>
      </c>
    </row>
    <row s="36640" customFormat="1" customHeight="1" ht="15">
      <c r="A348" s="19960"/>
      <c r="B348" s="19961"/>
      <c r="C348" s="19962"/>
      <c r="D348" s="19963" t="str">
        <f>B346&amp;".3"</f>
        <v>3.104.3</v>
      </c>
      <c r="E348" s="19964" t="s">
        <v>966</v>
      </c>
      <c r="F348" s="19965" t="s">
        <v>324</v>
      </c>
      <c r="G348" s="19680" t="s">
        <v>22</v>
      </c>
      <c r="H348" s="19967" t="s">
        <v>22</v>
      </c>
      <c r="I348" s="19680" t="s">
        <v>22</v>
      </c>
      <c r="J348" s="19967" t="s">
        <v>22</v>
      </c>
      <c r="K348" s="19680" t="s">
        <v>22</v>
      </c>
      <c r="L348" s="19967" t="s">
        <v>22</v>
      </c>
      <c r="M348" s="19680" t="s">
        <v>22</v>
      </c>
      <c r="N348" s="19967" t="s">
        <v>22</v>
      </c>
      <c r="O348" s="29663" t="s">
        <v>22</v>
      </c>
      <c r="P348" s="29959" t="s">
        <v>22</v>
      </c>
      <c r="Q348" s="19680" t="s">
        <v>22</v>
      </c>
      <c r="R348" s="19967" t="s">
        <v>22</v>
      </c>
      <c r="S348" s="19968" t="s">
        <v>967</v>
      </c>
      <c r="T348" s="19960"/>
      <c r="U348" s="19960"/>
      <c r="V348" s="19960"/>
      <c r="W348" s="19960"/>
      <c r="X348" s="19960"/>
      <c r="Y348" s="19960"/>
      <c r="Z348" s="19960"/>
      <c r="AA348" s="19960"/>
      <c r="AB348" s="19960"/>
      <c r="AC348" s="19969"/>
      <c r="AD348" s="19960">
        <v>0</v>
      </c>
    </row>
    <row s="36641" customFormat="1" customHeight="1" ht="22.5">
      <c r="A349" s="19960"/>
      <c r="B349" s="19961" t="s">
        <v>1086</v>
      </c>
      <c r="C349" s="19962" t="s">
        <v>103</v>
      </c>
      <c r="D349" s="19963" t="str">
        <f>B349&amp;".1"</f>
        <v>3.105.1</v>
      </c>
      <c r="E349" s="19964" t="s">
        <v>963</v>
      </c>
      <c r="F349" s="19965" t="s">
        <v>324</v>
      </c>
      <c r="G349" s="19966" t="s">
        <v>22</v>
      </c>
      <c r="H349" s="19967" t="s">
        <v>22</v>
      </c>
      <c r="I349" s="19966" t="s">
        <v>1064</v>
      </c>
      <c r="J349" s="19967" t="s">
        <v>22</v>
      </c>
      <c r="K349" s="19966" t="s">
        <v>22</v>
      </c>
      <c r="L349" s="19967" t="s">
        <v>22</v>
      </c>
      <c r="M349" s="19966" t="s">
        <v>22</v>
      </c>
      <c r="N349" s="19967" t="s">
        <v>22</v>
      </c>
      <c r="O349" s="29958" t="s">
        <v>22</v>
      </c>
      <c r="P349" s="29959" t="s">
        <v>22</v>
      </c>
      <c r="Q349" s="19966" t="s">
        <v>22</v>
      </c>
      <c r="R349" s="19967" t="s">
        <v>22</v>
      </c>
      <c r="S349" s="19968"/>
      <c r="T349" s="19960"/>
      <c r="U349" s="19960"/>
      <c r="V349" s="19960"/>
      <c r="W349" s="19960"/>
      <c r="X349" s="19960"/>
      <c r="Y349" s="19960"/>
      <c r="Z349" s="19960"/>
      <c r="AA349" s="19960"/>
      <c r="AB349" s="19960"/>
      <c r="AC349" s="19969"/>
      <c r="AD349" s="19960">
        <v>0</v>
      </c>
    </row>
    <row s="36642" customFormat="1" customHeight="1" ht="15">
      <c r="A350" s="19960"/>
      <c r="B350" s="19961"/>
      <c r="C350" s="19962"/>
      <c r="D350" s="19963" t="str">
        <f>B349&amp;".2"</f>
        <v>3.105.2</v>
      </c>
      <c r="E350" s="19964" t="s">
        <v>964</v>
      </c>
      <c r="F350" s="19965" t="s">
        <v>324</v>
      </c>
      <c r="G350" s="19680" t="s">
        <v>22</v>
      </c>
      <c r="H350" s="19967" t="s">
        <v>22</v>
      </c>
      <c r="I350" s="19680">
        <v>45404</v>
      </c>
      <c r="J350" s="19967" t="s">
        <v>22</v>
      </c>
      <c r="K350" s="19680" t="s">
        <v>22</v>
      </c>
      <c r="L350" s="19967" t="s">
        <v>22</v>
      </c>
      <c r="M350" s="19680" t="s">
        <v>22</v>
      </c>
      <c r="N350" s="19967" t="s">
        <v>22</v>
      </c>
      <c r="O350" s="29663" t="s">
        <v>22</v>
      </c>
      <c r="P350" s="29959" t="s">
        <v>22</v>
      </c>
      <c r="Q350" s="19680" t="s">
        <v>22</v>
      </c>
      <c r="R350" s="19967" t="s">
        <v>22</v>
      </c>
      <c r="S350" s="19968" t="s">
        <v>965</v>
      </c>
      <c r="T350" s="19960"/>
      <c r="U350" s="19960"/>
      <c r="V350" s="19960"/>
      <c r="W350" s="19960"/>
      <c r="X350" s="19960"/>
      <c r="Y350" s="19960"/>
      <c r="Z350" s="19960"/>
      <c r="AA350" s="19960"/>
      <c r="AB350" s="19960"/>
      <c r="AC350" s="19969"/>
      <c r="AD350" s="19960">
        <v>0</v>
      </c>
    </row>
    <row s="36643" customFormat="1" customHeight="1" ht="15">
      <c r="A351" s="19960"/>
      <c r="B351" s="19961"/>
      <c r="C351" s="19962"/>
      <c r="D351" s="19963" t="str">
        <f>B349&amp;".3"</f>
        <v>3.105.3</v>
      </c>
      <c r="E351" s="19964" t="s">
        <v>966</v>
      </c>
      <c r="F351" s="19965" t="s">
        <v>324</v>
      </c>
      <c r="G351" s="19680" t="s">
        <v>22</v>
      </c>
      <c r="H351" s="19967" t="s">
        <v>22</v>
      </c>
      <c r="I351" s="19680" t="s">
        <v>22</v>
      </c>
      <c r="J351" s="19967" t="s">
        <v>22</v>
      </c>
      <c r="K351" s="19680" t="s">
        <v>22</v>
      </c>
      <c r="L351" s="19967" t="s">
        <v>22</v>
      </c>
      <c r="M351" s="19680" t="s">
        <v>22</v>
      </c>
      <c r="N351" s="19967" t="s">
        <v>22</v>
      </c>
      <c r="O351" s="29663" t="s">
        <v>22</v>
      </c>
      <c r="P351" s="29959" t="s">
        <v>22</v>
      </c>
      <c r="Q351" s="19680" t="s">
        <v>22</v>
      </c>
      <c r="R351" s="19967" t="s">
        <v>22</v>
      </c>
      <c r="S351" s="19968" t="s">
        <v>967</v>
      </c>
      <c r="T351" s="19960"/>
      <c r="U351" s="19960"/>
      <c r="V351" s="19960"/>
      <c r="W351" s="19960"/>
      <c r="X351" s="19960"/>
      <c r="Y351" s="19960"/>
      <c r="Z351" s="19960"/>
      <c r="AA351" s="19960"/>
      <c r="AB351" s="19960"/>
      <c r="AC351" s="19969"/>
      <c r="AD351" s="19960">
        <v>0</v>
      </c>
    </row>
    <row s="36644" customFormat="1" customHeight="1" ht="22.5">
      <c r="A352" s="19960"/>
      <c r="B352" s="19961" t="s">
        <v>1087</v>
      </c>
      <c r="C352" s="19962" t="s">
        <v>103</v>
      </c>
      <c r="D352" s="19963" t="str">
        <f>B352&amp;".1"</f>
        <v>3.106.1</v>
      </c>
      <c r="E352" s="19964" t="s">
        <v>963</v>
      </c>
      <c r="F352" s="19965" t="s">
        <v>324</v>
      </c>
      <c r="G352" s="19966" t="s">
        <v>22</v>
      </c>
      <c r="H352" s="19967" t="s">
        <v>22</v>
      </c>
      <c r="I352" s="19966" t="s">
        <v>1064</v>
      </c>
      <c r="J352" s="19967" t="s">
        <v>22</v>
      </c>
      <c r="K352" s="19966" t="s">
        <v>22</v>
      </c>
      <c r="L352" s="19967" t="s">
        <v>22</v>
      </c>
      <c r="M352" s="19966" t="s">
        <v>22</v>
      </c>
      <c r="N352" s="19967" t="s">
        <v>22</v>
      </c>
      <c r="O352" s="29958" t="s">
        <v>22</v>
      </c>
      <c r="P352" s="29959" t="s">
        <v>22</v>
      </c>
      <c r="Q352" s="19966" t="s">
        <v>22</v>
      </c>
      <c r="R352" s="19967" t="s">
        <v>22</v>
      </c>
      <c r="S352" s="19968"/>
      <c r="T352" s="19960"/>
      <c r="U352" s="19960"/>
      <c r="V352" s="19960"/>
      <c r="W352" s="19960"/>
      <c r="X352" s="19960"/>
      <c r="Y352" s="19960"/>
      <c r="Z352" s="19960"/>
      <c r="AA352" s="19960"/>
      <c r="AB352" s="19960"/>
      <c r="AC352" s="19969"/>
      <c r="AD352" s="19960">
        <v>0</v>
      </c>
    </row>
    <row s="36645" customFormat="1" customHeight="1" ht="15">
      <c r="A353" s="19960"/>
      <c r="B353" s="19961"/>
      <c r="C353" s="19962"/>
      <c r="D353" s="19963" t="str">
        <f>B352&amp;".2"</f>
        <v>3.106.2</v>
      </c>
      <c r="E353" s="19964" t="s">
        <v>964</v>
      </c>
      <c r="F353" s="19965" t="s">
        <v>324</v>
      </c>
      <c r="G353" s="19680" t="s">
        <v>22</v>
      </c>
      <c r="H353" s="19967" t="s">
        <v>22</v>
      </c>
      <c r="I353" s="19680">
        <v>45404</v>
      </c>
      <c r="J353" s="19967" t="s">
        <v>22</v>
      </c>
      <c r="K353" s="19680" t="s">
        <v>22</v>
      </c>
      <c r="L353" s="19967" t="s">
        <v>22</v>
      </c>
      <c r="M353" s="19680" t="s">
        <v>22</v>
      </c>
      <c r="N353" s="19967" t="s">
        <v>22</v>
      </c>
      <c r="O353" s="29663" t="s">
        <v>22</v>
      </c>
      <c r="P353" s="29959" t="s">
        <v>22</v>
      </c>
      <c r="Q353" s="19680" t="s">
        <v>22</v>
      </c>
      <c r="R353" s="19967" t="s">
        <v>22</v>
      </c>
      <c r="S353" s="19968" t="s">
        <v>965</v>
      </c>
      <c r="T353" s="19960"/>
      <c r="U353" s="19960"/>
      <c r="V353" s="19960"/>
      <c r="W353" s="19960"/>
      <c r="X353" s="19960"/>
      <c r="Y353" s="19960"/>
      <c r="Z353" s="19960"/>
      <c r="AA353" s="19960"/>
      <c r="AB353" s="19960"/>
      <c r="AC353" s="19969"/>
      <c r="AD353" s="19960">
        <v>0</v>
      </c>
    </row>
    <row s="36646" customFormat="1" customHeight="1" ht="15">
      <c r="A354" s="19960"/>
      <c r="B354" s="19961"/>
      <c r="C354" s="19962"/>
      <c r="D354" s="19963" t="str">
        <f>B352&amp;".3"</f>
        <v>3.106.3</v>
      </c>
      <c r="E354" s="19964" t="s">
        <v>966</v>
      </c>
      <c r="F354" s="19965" t="s">
        <v>324</v>
      </c>
      <c r="G354" s="19680" t="s">
        <v>22</v>
      </c>
      <c r="H354" s="19967" t="s">
        <v>22</v>
      </c>
      <c r="I354" s="19680" t="s">
        <v>22</v>
      </c>
      <c r="J354" s="19967" t="s">
        <v>22</v>
      </c>
      <c r="K354" s="19680" t="s">
        <v>22</v>
      </c>
      <c r="L354" s="19967" t="s">
        <v>22</v>
      </c>
      <c r="M354" s="19680" t="s">
        <v>22</v>
      </c>
      <c r="N354" s="19967" t="s">
        <v>22</v>
      </c>
      <c r="O354" s="29663" t="s">
        <v>22</v>
      </c>
      <c r="P354" s="29959" t="s">
        <v>22</v>
      </c>
      <c r="Q354" s="19680" t="s">
        <v>22</v>
      </c>
      <c r="R354" s="19967" t="s">
        <v>22</v>
      </c>
      <c r="S354" s="19968" t="s">
        <v>967</v>
      </c>
      <c r="T354" s="19960"/>
      <c r="U354" s="19960"/>
      <c r="V354" s="19960"/>
      <c r="W354" s="19960"/>
      <c r="X354" s="19960"/>
      <c r="Y354" s="19960"/>
      <c r="Z354" s="19960"/>
      <c r="AA354" s="19960"/>
      <c r="AB354" s="19960"/>
      <c r="AC354" s="19969"/>
      <c r="AD354" s="19960">
        <v>0</v>
      </c>
    </row>
    <row s="36647" customFormat="1" customHeight="1" ht="22.5">
      <c r="A355" s="19960"/>
      <c r="B355" s="19961" t="s">
        <v>1088</v>
      </c>
      <c r="C355" s="19962" t="s">
        <v>103</v>
      </c>
      <c r="D355" s="19963" t="str">
        <f>B355&amp;".1"</f>
        <v>3.107.1</v>
      </c>
      <c r="E355" s="19964" t="s">
        <v>963</v>
      </c>
      <c r="F355" s="19965" t="s">
        <v>324</v>
      </c>
      <c r="G355" s="19966" t="s">
        <v>22</v>
      </c>
      <c r="H355" s="19967" t="s">
        <v>22</v>
      </c>
      <c r="I355" s="19966" t="s">
        <v>1064</v>
      </c>
      <c r="J355" s="19967" t="s">
        <v>22</v>
      </c>
      <c r="K355" s="19966" t="s">
        <v>22</v>
      </c>
      <c r="L355" s="19967" t="s">
        <v>22</v>
      </c>
      <c r="M355" s="19966" t="s">
        <v>22</v>
      </c>
      <c r="N355" s="19967" t="s">
        <v>22</v>
      </c>
      <c r="O355" s="29958" t="s">
        <v>22</v>
      </c>
      <c r="P355" s="29959" t="s">
        <v>22</v>
      </c>
      <c r="Q355" s="19966" t="s">
        <v>22</v>
      </c>
      <c r="R355" s="19967" t="s">
        <v>22</v>
      </c>
      <c r="S355" s="19968"/>
      <c r="T355" s="19960"/>
      <c r="U355" s="19960"/>
      <c r="V355" s="19960"/>
      <c r="W355" s="19960"/>
      <c r="X355" s="19960"/>
      <c r="Y355" s="19960"/>
      <c r="Z355" s="19960"/>
      <c r="AA355" s="19960"/>
      <c r="AB355" s="19960"/>
      <c r="AC355" s="19969"/>
      <c r="AD355" s="19960">
        <v>0</v>
      </c>
    </row>
    <row s="36648" customFormat="1" customHeight="1" ht="15">
      <c r="A356" s="19960"/>
      <c r="B356" s="19961"/>
      <c r="C356" s="19962"/>
      <c r="D356" s="19963" t="str">
        <f>B355&amp;".2"</f>
        <v>3.107.2</v>
      </c>
      <c r="E356" s="19964" t="s">
        <v>964</v>
      </c>
      <c r="F356" s="19965" t="s">
        <v>324</v>
      </c>
      <c r="G356" s="19680" t="s">
        <v>22</v>
      </c>
      <c r="H356" s="19967" t="s">
        <v>22</v>
      </c>
      <c r="I356" s="19680">
        <v>45404</v>
      </c>
      <c r="J356" s="19967" t="s">
        <v>22</v>
      </c>
      <c r="K356" s="19680" t="s">
        <v>22</v>
      </c>
      <c r="L356" s="19967" t="s">
        <v>22</v>
      </c>
      <c r="M356" s="19680" t="s">
        <v>22</v>
      </c>
      <c r="N356" s="19967" t="s">
        <v>22</v>
      </c>
      <c r="O356" s="29663" t="s">
        <v>22</v>
      </c>
      <c r="P356" s="29959" t="s">
        <v>22</v>
      </c>
      <c r="Q356" s="19680" t="s">
        <v>22</v>
      </c>
      <c r="R356" s="19967" t="s">
        <v>22</v>
      </c>
      <c r="S356" s="19968" t="s">
        <v>965</v>
      </c>
      <c r="T356" s="19960"/>
      <c r="U356" s="19960"/>
      <c r="V356" s="19960"/>
      <c r="W356" s="19960"/>
      <c r="X356" s="19960"/>
      <c r="Y356" s="19960"/>
      <c r="Z356" s="19960"/>
      <c r="AA356" s="19960"/>
      <c r="AB356" s="19960"/>
      <c r="AC356" s="19969"/>
      <c r="AD356" s="19960">
        <v>0</v>
      </c>
    </row>
    <row s="36649" customFormat="1" customHeight="1" ht="15">
      <c r="A357" s="19960"/>
      <c r="B357" s="19961"/>
      <c r="C357" s="19962"/>
      <c r="D357" s="19963" t="str">
        <f>B355&amp;".3"</f>
        <v>3.107.3</v>
      </c>
      <c r="E357" s="19964" t="s">
        <v>966</v>
      </c>
      <c r="F357" s="19965" t="s">
        <v>324</v>
      </c>
      <c r="G357" s="19680" t="s">
        <v>22</v>
      </c>
      <c r="H357" s="19967" t="s">
        <v>22</v>
      </c>
      <c r="I357" s="19680" t="s">
        <v>22</v>
      </c>
      <c r="J357" s="19967" t="s">
        <v>22</v>
      </c>
      <c r="K357" s="19680" t="s">
        <v>22</v>
      </c>
      <c r="L357" s="19967" t="s">
        <v>22</v>
      </c>
      <c r="M357" s="19680" t="s">
        <v>22</v>
      </c>
      <c r="N357" s="19967" t="s">
        <v>22</v>
      </c>
      <c r="O357" s="29663" t="s">
        <v>22</v>
      </c>
      <c r="P357" s="29959" t="s">
        <v>22</v>
      </c>
      <c r="Q357" s="19680" t="s">
        <v>22</v>
      </c>
      <c r="R357" s="19967" t="s">
        <v>22</v>
      </c>
      <c r="S357" s="19968" t="s">
        <v>967</v>
      </c>
      <c r="T357" s="19960"/>
      <c r="U357" s="19960"/>
      <c r="V357" s="19960"/>
      <c r="W357" s="19960"/>
      <c r="X357" s="19960"/>
      <c r="Y357" s="19960"/>
      <c r="Z357" s="19960"/>
      <c r="AA357" s="19960"/>
      <c r="AB357" s="19960"/>
      <c r="AC357" s="19969"/>
      <c r="AD357" s="19960">
        <v>0</v>
      </c>
    </row>
    <row s="36650" customFormat="1" customHeight="1" ht="22.5">
      <c r="A358" s="19960"/>
      <c r="B358" s="19961" t="s">
        <v>1089</v>
      </c>
      <c r="C358" s="19962" t="s">
        <v>103</v>
      </c>
      <c r="D358" s="19963" t="str">
        <f>B358&amp;".1"</f>
        <v>3.108.1</v>
      </c>
      <c r="E358" s="19964" t="s">
        <v>963</v>
      </c>
      <c r="F358" s="19965" t="s">
        <v>324</v>
      </c>
      <c r="G358" s="19966" t="s">
        <v>22</v>
      </c>
      <c r="H358" s="19967" t="s">
        <v>22</v>
      </c>
      <c r="I358" s="19966" t="s">
        <v>1064</v>
      </c>
      <c r="J358" s="19967" t="s">
        <v>22</v>
      </c>
      <c r="K358" s="19966" t="s">
        <v>22</v>
      </c>
      <c r="L358" s="19967" t="s">
        <v>22</v>
      </c>
      <c r="M358" s="19966" t="s">
        <v>22</v>
      </c>
      <c r="N358" s="19967" t="s">
        <v>22</v>
      </c>
      <c r="O358" s="29958" t="s">
        <v>22</v>
      </c>
      <c r="P358" s="29959" t="s">
        <v>22</v>
      </c>
      <c r="Q358" s="19966" t="s">
        <v>22</v>
      </c>
      <c r="R358" s="19967" t="s">
        <v>22</v>
      </c>
      <c r="S358" s="19968"/>
      <c r="T358" s="19960"/>
      <c r="U358" s="19960"/>
      <c r="V358" s="19960"/>
      <c r="W358" s="19960"/>
      <c r="X358" s="19960"/>
      <c r="Y358" s="19960"/>
      <c r="Z358" s="19960"/>
      <c r="AA358" s="19960"/>
      <c r="AB358" s="19960"/>
      <c r="AC358" s="19969"/>
      <c r="AD358" s="19960">
        <v>0</v>
      </c>
    </row>
    <row s="36651" customFormat="1" customHeight="1" ht="15">
      <c r="A359" s="19960"/>
      <c r="B359" s="19961"/>
      <c r="C359" s="19962"/>
      <c r="D359" s="19963" t="str">
        <f>B358&amp;".2"</f>
        <v>3.108.2</v>
      </c>
      <c r="E359" s="19964" t="s">
        <v>964</v>
      </c>
      <c r="F359" s="19965" t="s">
        <v>324</v>
      </c>
      <c r="G359" s="19680" t="s">
        <v>22</v>
      </c>
      <c r="H359" s="19967" t="s">
        <v>22</v>
      </c>
      <c r="I359" s="19680">
        <v>45404</v>
      </c>
      <c r="J359" s="19967" t="s">
        <v>22</v>
      </c>
      <c r="K359" s="19680" t="s">
        <v>22</v>
      </c>
      <c r="L359" s="19967" t="s">
        <v>22</v>
      </c>
      <c r="M359" s="19680" t="s">
        <v>22</v>
      </c>
      <c r="N359" s="19967" t="s">
        <v>22</v>
      </c>
      <c r="O359" s="29663" t="s">
        <v>22</v>
      </c>
      <c r="P359" s="29959" t="s">
        <v>22</v>
      </c>
      <c r="Q359" s="19680" t="s">
        <v>22</v>
      </c>
      <c r="R359" s="19967" t="s">
        <v>22</v>
      </c>
      <c r="S359" s="19968" t="s">
        <v>965</v>
      </c>
      <c r="T359" s="19960"/>
      <c r="U359" s="19960"/>
      <c r="V359" s="19960"/>
      <c r="W359" s="19960"/>
      <c r="X359" s="19960"/>
      <c r="Y359" s="19960"/>
      <c r="Z359" s="19960"/>
      <c r="AA359" s="19960"/>
      <c r="AB359" s="19960"/>
      <c r="AC359" s="19969"/>
      <c r="AD359" s="19960">
        <v>0</v>
      </c>
    </row>
    <row s="36652" customFormat="1" customHeight="1" ht="15">
      <c r="A360" s="19960"/>
      <c r="B360" s="19961"/>
      <c r="C360" s="19962"/>
      <c r="D360" s="19963" t="str">
        <f>B358&amp;".3"</f>
        <v>3.108.3</v>
      </c>
      <c r="E360" s="19964" t="s">
        <v>966</v>
      </c>
      <c r="F360" s="19965" t="s">
        <v>324</v>
      </c>
      <c r="G360" s="19680" t="s">
        <v>22</v>
      </c>
      <c r="H360" s="19967" t="s">
        <v>22</v>
      </c>
      <c r="I360" s="19680" t="s">
        <v>22</v>
      </c>
      <c r="J360" s="19967" t="s">
        <v>22</v>
      </c>
      <c r="K360" s="19680" t="s">
        <v>22</v>
      </c>
      <c r="L360" s="19967" t="s">
        <v>22</v>
      </c>
      <c r="M360" s="19680" t="s">
        <v>22</v>
      </c>
      <c r="N360" s="19967" t="s">
        <v>22</v>
      </c>
      <c r="O360" s="29663" t="s">
        <v>22</v>
      </c>
      <c r="P360" s="29959" t="s">
        <v>22</v>
      </c>
      <c r="Q360" s="19680" t="s">
        <v>22</v>
      </c>
      <c r="R360" s="19967" t="s">
        <v>22</v>
      </c>
      <c r="S360" s="19968" t="s">
        <v>967</v>
      </c>
      <c r="T360" s="19960"/>
      <c r="U360" s="19960"/>
      <c r="V360" s="19960"/>
      <c r="W360" s="19960"/>
      <c r="X360" s="19960"/>
      <c r="Y360" s="19960"/>
      <c r="Z360" s="19960"/>
      <c r="AA360" s="19960"/>
      <c r="AB360" s="19960"/>
      <c r="AC360" s="19969"/>
      <c r="AD360" s="19960">
        <v>0</v>
      </c>
    </row>
    <row s="36653" customFormat="1" customHeight="1" ht="22.5">
      <c r="A361" s="19960"/>
      <c r="B361" s="19961" t="s">
        <v>1090</v>
      </c>
      <c r="C361" s="19962" t="s">
        <v>103</v>
      </c>
      <c r="D361" s="19963" t="str">
        <f>B361&amp;".1"</f>
        <v>3.109.1</v>
      </c>
      <c r="E361" s="19964" t="s">
        <v>963</v>
      </c>
      <c r="F361" s="19965" t="s">
        <v>324</v>
      </c>
      <c r="G361" s="19966" t="s">
        <v>22</v>
      </c>
      <c r="H361" s="19967" t="s">
        <v>22</v>
      </c>
      <c r="I361" s="19966" t="s">
        <v>1064</v>
      </c>
      <c r="J361" s="19967" t="s">
        <v>22</v>
      </c>
      <c r="K361" s="19966" t="s">
        <v>22</v>
      </c>
      <c r="L361" s="19967" t="s">
        <v>22</v>
      </c>
      <c r="M361" s="19966" t="s">
        <v>22</v>
      </c>
      <c r="N361" s="19967" t="s">
        <v>22</v>
      </c>
      <c r="O361" s="29958" t="s">
        <v>22</v>
      </c>
      <c r="P361" s="29959" t="s">
        <v>22</v>
      </c>
      <c r="Q361" s="19966" t="s">
        <v>22</v>
      </c>
      <c r="R361" s="19967" t="s">
        <v>22</v>
      </c>
      <c r="S361" s="19968"/>
      <c r="T361" s="19960"/>
      <c r="U361" s="19960"/>
      <c r="V361" s="19960"/>
      <c r="W361" s="19960"/>
      <c r="X361" s="19960"/>
      <c r="Y361" s="19960"/>
      <c r="Z361" s="19960"/>
      <c r="AA361" s="19960"/>
      <c r="AB361" s="19960"/>
      <c r="AC361" s="19969"/>
      <c r="AD361" s="19960">
        <v>0</v>
      </c>
    </row>
    <row s="36654" customFormat="1" customHeight="1" ht="15">
      <c r="A362" s="19960"/>
      <c r="B362" s="19961"/>
      <c r="C362" s="19962"/>
      <c r="D362" s="19963" t="str">
        <f>B361&amp;".2"</f>
        <v>3.109.2</v>
      </c>
      <c r="E362" s="19964" t="s">
        <v>964</v>
      </c>
      <c r="F362" s="19965" t="s">
        <v>324</v>
      </c>
      <c r="G362" s="19680" t="s">
        <v>22</v>
      </c>
      <c r="H362" s="19967" t="s">
        <v>22</v>
      </c>
      <c r="I362" s="19680">
        <v>45405</v>
      </c>
      <c r="J362" s="19967" t="s">
        <v>22</v>
      </c>
      <c r="K362" s="19680" t="s">
        <v>22</v>
      </c>
      <c r="L362" s="19967" t="s">
        <v>22</v>
      </c>
      <c r="M362" s="19680" t="s">
        <v>22</v>
      </c>
      <c r="N362" s="19967" t="s">
        <v>22</v>
      </c>
      <c r="O362" s="29663" t="s">
        <v>22</v>
      </c>
      <c r="P362" s="29959" t="s">
        <v>22</v>
      </c>
      <c r="Q362" s="19680" t="s">
        <v>22</v>
      </c>
      <c r="R362" s="19967" t="s">
        <v>22</v>
      </c>
      <c r="S362" s="19968" t="s">
        <v>965</v>
      </c>
      <c r="T362" s="19960"/>
      <c r="U362" s="19960"/>
      <c r="V362" s="19960"/>
      <c r="W362" s="19960"/>
      <c r="X362" s="19960"/>
      <c r="Y362" s="19960"/>
      <c r="Z362" s="19960"/>
      <c r="AA362" s="19960"/>
      <c r="AB362" s="19960"/>
      <c r="AC362" s="19969"/>
      <c r="AD362" s="19960">
        <v>0</v>
      </c>
    </row>
    <row s="36655" customFormat="1" customHeight="1" ht="15">
      <c r="A363" s="19960"/>
      <c r="B363" s="19961"/>
      <c r="C363" s="19962"/>
      <c r="D363" s="19963" t="str">
        <f>B361&amp;".3"</f>
        <v>3.109.3</v>
      </c>
      <c r="E363" s="19964" t="s">
        <v>966</v>
      </c>
      <c r="F363" s="19965" t="s">
        <v>324</v>
      </c>
      <c r="G363" s="19680" t="s">
        <v>22</v>
      </c>
      <c r="H363" s="19967" t="s">
        <v>22</v>
      </c>
      <c r="I363" s="19680" t="s">
        <v>22</v>
      </c>
      <c r="J363" s="19967" t="s">
        <v>22</v>
      </c>
      <c r="K363" s="19680" t="s">
        <v>22</v>
      </c>
      <c r="L363" s="19967" t="s">
        <v>22</v>
      </c>
      <c r="M363" s="19680" t="s">
        <v>22</v>
      </c>
      <c r="N363" s="19967" t="s">
        <v>22</v>
      </c>
      <c r="O363" s="29663" t="s">
        <v>22</v>
      </c>
      <c r="P363" s="29959" t="s">
        <v>22</v>
      </c>
      <c r="Q363" s="19680" t="s">
        <v>22</v>
      </c>
      <c r="R363" s="19967" t="s">
        <v>22</v>
      </c>
      <c r="S363" s="19968" t="s">
        <v>967</v>
      </c>
      <c r="T363" s="19960"/>
      <c r="U363" s="19960"/>
      <c r="V363" s="19960"/>
      <c r="W363" s="19960"/>
      <c r="X363" s="19960"/>
      <c r="Y363" s="19960"/>
      <c r="Z363" s="19960"/>
      <c r="AA363" s="19960"/>
      <c r="AB363" s="19960"/>
      <c r="AC363" s="19969"/>
      <c r="AD363" s="19960">
        <v>0</v>
      </c>
    </row>
    <row s="36656" customFormat="1" customHeight="1" ht="22.5">
      <c r="A364" s="19960"/>
      <c r="B364" s="19961" t="s">
        <v>1091</v>
      </c>
      <c r="C364" s="19962" t="s">
        <v>103</v>
      </c>
      <c r="D364" s="19963" t="str">
        <f>B364&amp;".1"</f>
        <v>3.110.1</v>
      </c>
      <c r="E364" s="19964" t="s">
        <v>963</v>
      </c>
      <c r="F364" s="19965" t="s">
        <v>324</v>
      </c>
      <c r="G364" s="19966" t="s">
        <v>22</v>
      </c>
      <c r="H364" s="19967" t="s">
        <v>22</v>
      </c>
      <c r="I364" s="19966" t="s">
        <v>1064</v>
      </c>
      <c r="J364" s="19967" t="s">
        <v>22</v>
      </c>
      <c r="K364" s="19966" t="s">
        <v>22</v>
      </c>
      <c r="L364" s="19967" t="s">
        <v>22</v>
      </c>
      <c r="M364" s="19966" t="s">
        <v>22</v>
      </c>
      <c r="N364" s="19967" t="s">
        <v>22</v>
      </c>
      <c r="O364" s="29958" t="s">
        <v>22</v>
      </c>
      <c r="P364" s="29959" t="s">
        <v>22</v>
      </c>
      <c r="Q364" s="19966" t="s">
        <v>22</v>
      </c>
      <c r="R364" s="19967" t="s">
        <v>22</v>
      </c>
      <c r="S364" s="19968"/>
      <c r="T364" s="19960"/>
      <c r="U364" s="19960"/>
      <c r="V364" s="19960"/>
      <c r="W364" s="19960"/>
      <c r="X364" s="19960"/>
      <c r="Y364" s="19960"/>
      <c r="Z364" s="19960"/>
      <c r="AA364" s="19960"/>
      <c r="AB364" s="19960"/>
      <c r="AC364" s="19969"/>
      <c r="AD364" s="19960">
        <v>0</v>
      </c>
    </row>
    <row s="36657" customFormat="1" customHeight="1" ht="15">
      <c r="A365" s="19960"/>
      <c r="B365" s="19961"/>
      <c r="C365" s="19962"/>
      <c r="D365" s="19963" t="str">
        <f>B364&amp;".2"</f>
        <v>3.110.2</v>
      </c>
      <c r="E365" s="19964" t="s">
        <v>964</v>
      </c>
      <c r="F365" s="19965" t="s">
        <v>324</v>
      </c>
      <c r="G365" s="19680" t="s">
        <v>22</v>
      </c>
      <c r="H365" s="19967" t="s">
        <v>22</v>
      </c>
      <c r="I365" s="19680">
        <v>45405</v>
      </c>
      <c r="J365" s="19967" t="s">
        <v>22</v>
      </c>
      <c r="K365" s="19680" t="s">
        <v>22</v>
      </c>
      <c r="L365" s="19967" t="s">
        <v>22</v>
      </c>
      <c r="M365" s="19680" t="s">
        <v>22</v>
      </c>
      <c r="N365" s="19967" t="s">
        <v>22</v>
      </c>
      <c r="O365" s="29663" t="s">
        <v>22</v>
      </c>
      <c r="P365" s="29959" t="s">
        <v>22</v>
      </c>
      <c r="Q365" s="19680" t="s">
        <v>22</v>
      </c>
      <c r="R365" s="19967" t="s">
        <v>22</v>
      </c>
      <c r="S365" s="19968" t="s">
        <v>965</v>
      </c>
      <c r="T365" s="19960"/>
      <c r="U365" s="19960"/>
      <c r="V365" s="19960"/>
      <c r="W365" s="19960"/>
      <c r="X365" s="19960"/>
      <c r="Y365" s="19960"/>
      <c r="Z365" s="19960"/>
      <c r="AA365" s="19960"/>
      <c r="AB365" s="19960"/>
      <c r="AC365" s="19969"/>
      <c r="AD365" s="19960">
        <v>0</v>
      </c>
    </row>
    <row s="36658" customFormat="1" customHeight="1" ht="15">
      <c r="A366" s="19960"/>
      <c r="B366" s="19961"/>
      <c r="C366" s="19962"/>
      <c r="D366" s="19963" t="str">
        <f>B364&amp;".3"</f>
        <v>3.110.3</v>
      </c>
      <c r="E366" s="19964" t="s">
        <v>966</v>
      </c>
      <c r="F366" s="19965" t="s">
        <v>324</v>
      </c>
      <c r="G366" s="19680" t="s">
        <v>22</v>
      </c>
      <c r="H366" s="19967" t="s">
        <v>22</v>
      </c>
      <c r="I366" s="19680" t="s">
        <v>22</v>
      </c>
      <c r="J366" s="19967" t="s">
        <v>22</v>
      </c>
      <c r="K366" s="19680" t="s">
        <v>22</v>
      </c>
      <c r="L366" s="19967" t="s">
        <v>22</v>
      </c>
      <c r="M366" s="19680" t="s">
        <v>22</v>
      </c>
      <c r="N366" s="19967" t="s">
        <v>22</v>
      </c>
      <c r="O366" s="29663" t="s">
        <v>22</v>
      </c>
      <c r="P366" s="29959" t="s">
        <v>22</v>
      </c>
      <c r="Q366" s="19680" t="s">
        <v>22</v>
      </c>
      <c r="R366" s="19967" t="s">
        <v>22</v>
      </c>
      <c r="S366" s="19968" t="s">
        <v>967</v>
      </c>
      <c r="T366" s="19960"/>
      <c r="U366" s="19960"/>
      <c r="V366" s="19960"/>
      <c r="W366" s="19960"/>
      <c r="X366" s="19960"/>
      <c r="Y366" s="19960"/>
      <c r="Z366" s="19960"/>
      <c r="AA366" s="19960"/>
      <c r="AB366" s="19960"/>
      <c r="AC366" s="19969"/>
      <c r="AD366" s="19960">
        <v>0</v>
      </c>
    </row>
    <row s="36659" customFormat="1" customHeight="1" ht="22.5">
      <c r="A367" s="19960"/>
      <c r="B367" s="19961" t="s">
        <v>1092</v>
      </c>
      <c r="C367" s="19962" t="s">
        <v>103</v>
      </c>
      <c r="D367" s="19963" t="str">
        <f>B367&amp;".1"</f>
        <v>3.111.1</v>
      </c>
      <c r="E367" s="19964" t="s">
        <v>963</v>
      </c>
      <c r="F367" s="19965" t="s">
        <v>324</v>
      </c>
      <c r="G367" s="19966" t="s">
        <v>22</v>
      </c>
      <c r="H367" s="19967" t="s">
        <v>22</v>
      </c>
      <c r="I367" s="19966" t="s">
        <v>1064</v>
      </c>
      <c r="J367" s="19967" t="s">
        <v>22</v>
      </c>
      <c r="K367" s="19966" t="s">
        <v>22</v>
      </c>
      <c r="L367" s="19967" t="s">
        <v>22</v>
      </c>
      <c r="M367" s="19966" t="s">
        <v>22</v>
      </c>
      <c r="N367" s="19967" t="s">
        <v>22</v>
      </c>
      <c r="O367" s="29958" t="s">
        <v>22</v>
      </c>
      <c r="P367" s="29959" t="s">
        <v>22</v>
      </c>
      <c r="Q367" s="19966" t="s">
        <v>22</v>
      </c>
      <c r="R367" s="19967" t="s">
        <v>22</v>
      </c>
      <c r="S367" s="19968"/>
      <c r="T367" s="19960"/>
      <c r="U367" s="19960"/>
      <c r="V367" s="19960"/>
      <c r="W367" s="19960"/>
      <c r="X367" s="19960"/>
      <c r="Y367" s="19960"/>
      <c r="Z367" s="19960"/>
      <c r="AA367" s="19960"/>
      <c r="AB367" s="19960"/>
      <c r="AC367" s="19969"/>
      <c r="AD367" s="19960">
        <v>0</v>
      </c>
    </row>
    <row s="36660" customFormat="1" customHeight="1" ht="15">
      <c r="A368" s="19960"/>
      <c r="B368" s="19961"/>
      <c r="C368" s="19962"/>
      <c r="D368" s="19963" t="str">
        <f>B367&amp;".2"</f>
        <v>3.111.2</v>
      </c>
      <c r="E368" s="19964" t="s">
        <v>964</v>
      </c>
      <c r="F368" s="19965" t="s">
        <v>324</v>
      </c>
      <c r="G368" s="19680" t="s">
        <v>22</v>
      </c>
      <c r="H368" s="19967" t="s">
        <v>22</v>
      </c>
      <c r="I368" s="19680">
        <v>45405</v>
      </c>
      <c r="J368" s="19967" t="s">
        <v>22</v>
      </c>
      <c r="K368" s="19680" t="s">
        <v>22</v>
      </c>
      <c r="L368" s="19967" t="s">
        <v>22</v>
      </c>
      <c r="M368" s="19680" t="s">
        <v>22</v>
      </c>
      <c r="N368" s="19967" t="s">
        <v>22</v>
      </c>
      <c r="O368" s="29663" t="s">
        <v>22</v>
      </c>
      <c r="P368" s="29959" t="s">
        <v>22</v>
      </c>
      <c r="Q368" s="19680" t="s">
        <v>22</v>
      </c>
      <c r="R368" s="19967" t="s">
        <v>22</v>
      </c>
      <c r="S368" s="19968" t="s">
        <v>965</v>
      </c>
      <c r="T368" s="19960"/>
      <c r="U368" s="19960"/>
      <c r="V368" s="19960"/>
      <c r="W368" s="19960"/>
      <c r="X368" s="19960"/>
      <c r="Y368" s="19960"/>
      <c r="Z368" s="19960"/>
      <c r="AA368" s="19960"/>
      <c r="AB368" s="19960"/>
      <c r="AC368" s="19969"/>
      <c r="AD368" s="19960">
        <v>0</v>
      </c>
    </row>
    <row s="36661" customFormat="1" customHeight="1" ht="15">
      <c r="A369" s="19960"/>
      <c r="B369" s="19961"/>
      <c r="C369" s="19962"/>
      <c r="D369" s="19963" t="str">
        <f>B367&amp;".3"</f>
        <v>3.111.3</v>
      </c>
      <c r="E369" s="19964" t="s">
        <v>966</v>
      </c>
      <c r="F369" s="19965" t="s">
        <v>324</v>
      </c>
      <c r="G369" s="19680" t="s">
        <v>22</v>
      </c>
      <c r="H369" s="19967" t="s">
        <v>22</v>
      </c>
      <c r="I369" s="19680" t="s">
        <v>22</v>
      </c>
      <c r="J369" s="19967" t="s">
        <v>22</v>
      </c>
      <c r="K369" s="19680" t="s">
        <v>22</v>
      </c>
      <c r="L369" s="19967" t="s">
        <v>22</v>
      </c>
      <c r="M369" s="19680" t="s">
        <v>22</v>
      </c>
      <c r="N369" s="19967" t="s">
        <v>22</v>
      </c>
      <c r="O369" s="29663" t="s">
        <v>22</v>
      </c>
      <c r="P369" s="29959" t="s">
        <v>22</v>
      </c>
      <c r="Q369" s="19680" t="s">
        <v>22</v>
      </c>
      <c r="R369" s="19967" t="s">
        <v>22</v>
      </c>
      <c r="S369" s="19968" t="s">
        <v>967</v>
      </c>
      <c r="T369" s="19960"/>
      <c r="U369" s="19960"/>
      <c r="V369" s="19960"/>
      <c r="W369" s="19960"/>
      <c r="X369" s="19960"/>
      <c r="Y369" s="19960"/>
      <c r="Z369" s="19960"/>
      <c r="AA369" s="19960"/>
      <c r="AB369" s="19960"/>
      <c r="AC369" s="19969"/>
      <c r="AD369" s="19960">
        <v>0</v>
      </c>
    </row>
    <row s="36662" customFormat="1" customHeight="1" ht="22.5">
      <c r="A370" s="19960"/>
      <c r="B370" s="19961" t="s">
        <v>1093</v>
      </c>
      <c r="C370" s="19962" t="s">
        <v>103</v>
      </c>
      <c r="D370" s="19963" t="str">
        <f>B370&amp;".1"</f>
        <v>3.112.1</v>
      </c>
      <c r="E370" s="19964" t="s">
        <v>963</v>
      </c>
      <c r="F370" s="19965" t="s">
        <v>324</v>
      </c>
      <c r="G370" s="19966" t="s">
        <v>22</v>
      </c>
      <c r="H370" s="19967" t="s">
        <v>22</v>
      </c>
      <c r="I370" s="19966" t="s">
        <v>1064</v>
      </c>
      <c r="J370" s="19967" t="s">
        <v>22</v>
      </c>
      <c r="K370" s="19966" t="s">
        <v>22</v>
      </c>
      <c r="L370" s="19967" t="s">
        <v>22</v>
      </c>
      <c r="M370" s="19966" t="s">
        <v>22</v>
      </c>
      <c r="N370" s="19967" t="s">
        <v>22</v>
      </c>
      <c r="O370" s="29958" t="s">
        <v>22</v>
      </c>
      <c r="P370" s="29959" t="s">
        <v>22</v>
      </c>
      <c r="Q370" s="19966" t="s">
        <v>22</v>
      </c>
      <c r="R370" s="19967" t="s">
        <v>22</v>
      </c>
      <c r="S370" s="19968"/>
      <c r="T370" s="19960"/>
      <c r="U370" s="19960"/>
      <c r="V370" s="19960"/>
      <c r="W370" s="19960"/>
      <c r="X370" s="19960"/>
      <c r="Y370" s="19960"/>
      <c r="Z370" s="19960"/>
      <c r="AA370" s="19960"/>
      <c r="AB370" s="19960"/>
      <c r="AC370" s="19969"/>
      <c r="AD370" s="19960">
        <v>0</v>
      </c>
    </row>
    <row s="36663" customFormat="1" customHeight="1" ht="15">
      <c r="A371" s="19960"/>
      <c r="B371" s="19961"/>
      <c r="C371" s="19962"/>
      <c r="D371" s="19963" t="str">
        <f>B370&amp;".2"</f>
        <v>3.112.2</v>
      </c>
      <c r="E371" s="19964" t="s">
        <v>964</v>
      </c>
      <c r="F371" s="19965" t="s">
        <v>324</v>
      </c>
      <c r="G371" s="19680" t="s">
        <v>22</v>
      </c>
      <c r="H371" s="19967" t="s">
        <v>22</v>
      </c>
      <c r="I371" s="19680">
        <v>45405</v>
      </c>
      <c r="J371" s="19967" t="s">
        <v>22</v>
      </c>
      <c r="K371" s="19680" t="s">
        <v>22</v>
      </c>
      <c r="L371" s="19967" t="s">
        <v>22</v>
      </c>
      <c r="M371" s="19680" t="s">
        <v>22</v>
      </c>
      <c r="N371" s="19967" t="s">
        <v>22</v>
      </c>
      <c r="O371" s="29663" t="s">
        <v>22</v>
      </c>
      <c r="P371" s="29959" t="s">
        <v>22</v>
      </c>
      <c r="Q371" s="19680" t="s">
        <v>22</v>
      </c>
      <c r="R371" s="19967" t="s">
        <v>22</v>
      </c>
      <c r="S371" s="19968" t="s">
        <v>965</v>
      </c>
      <c r="T371" s="19960"/>
      <c r="U371" s="19960"/>
      <c r="V371" s="19960"/>
      <c r="W371" s="19960"/>
      <c r="X371" s="19960"/>
      <c r="Y371" s="19960"/>
      <c r="Z371" s="19960"/>
      <c r="AA371" s="19960"/>
      <c r="AB371" s="19960"/>
      <c r="AC371" s="19969"/>
      <c r="AD371" s="19960">
        <v>0</v>
      </c>
    </row>
    <row s="36664" customFormat="1" customHeight="1" ht="15">
      <c r="A372" s="19960"/>
      <c r="B372" s="19961"/>
      <c r="C372" s="19962"/>
      <c r="D372" s="19963" t="str">
        <f>B370&amp;".3"</f>
        <v>3.112.3</v>
      </c>
      <c r="E372" s="19964" t="s">
        <v>966</v>
      </c>
      <c r="F372" s="19965" t="s">
        <v>324</v>
      </c>
      <c r="G372" s="19680" t="s">
        <v>22</v>
      </c>
      <c r="H372" s="19967" t="s">
        <v>22</v>
      </c>
      <c r="I372" s="19680" t="s">
        <v>22</v>
      </c>
      <c r="J372" s="19967" t="s">
        <v>22</v>
      </c>
      <c r="K372" s="19680" t="s">
        <v>22</v>
      </c>
      <c r="L372" s="19967" t="s">
        <v>22</v>
      </c>
      <c r="M372" s="19680" t="s">
        <v>22</v>
      </c>
      <c r="N372" s="19967" t="s">
        <v>22</v>
      </c>
      <c r="O372" s="29663" t="s">
        <v>22</v>
      </c>
      <c r="P372" s="29959" t="s">
        <v>22</v>
      </c>
      <c r="Q372" s="19680" t="s">
        <v>22</v>
      </c>
      <c r="R372" s="19967" t="s">
        <v>22</v>
      </c>
      <c r="S372" s="19968" t="s">
        <v>967</v>
      </c>
      <c r="T372" s="19960"/>
      <c r="U372" s="19960"/>
      <c r="V372" s="19960"/>
      <c r="W372" s="19960"/>
      <c r="X372" s="19960"/>
      <c r="Y372" s="19960"/>
      <c r="Z372" s="19960"/>
      <c r="AA372" s="19960"/>
      <c r="AB372" s="19960"/>
      <c r="AC372" s="19969"/>
      <c r="AD372" s="19960">
        <v>0</v>
      </c>
    </row>
    <row s="36665" customFormat="1" customHeight="1" ht="22.5">
      <c r="A373" s="19960"/>
      <c r="B373" s="19961" t="s">
        <v>1094</v>
      </c>
      <c r="C373" s="19962" t="s">
        <v>103</v>
      </c>
      <c r="D373" s="19963" t="str">
        <f>B373&amp;".1"</f>
        <v>3.113.1</v>
      </c>
      <c r="E373" s="19964" t="s">
        <v>963</v>
      </c>
      <c r="F373" s="19965" t="s">
        <v>324</v>
      </c>
      <c r="G373" s="19966" t="s">
        <v>22</v>
      </c>
      <c r="H373" s="19967" t="s">
        <v>22</v>
      </c>
      <c r="I373" s="19966" t="s">
        <v>1071</v>
      </c>
      <c r="J373" s="19967" t="s">
        <v>22</v>
      </c>
      <c r="K373" s="19966" t="s">
        <v>22</v>
      </c>
      <c r="L373" s="19967" t="s">
        <v>22</v>
      </c>
      <c r="M373" s="19966" t="s">
        <v>22</v>
      </c>
      <c r="N373" s="19967" t="s">
        <v>22</v>
      </c>
      <c r="O373" s="29958" t="s">
        <v>22</v>
      </c>
      <c r="P373" s="29959" t="s">
        <v>22</v>
      </c>
      <c r="Q373" s="19966" t="s">
        <v>22</v>
      </c>
      <c r="R373" s="19967" t="s">
        <v>22</v>
      </c>
      <c r="S373" s="19968"/>
      <c r="T373" s="19960"/>
      <c r="U373" s="19960"/>
      <c r="V373" s="19960"/>
      <c r="W373" s="19960"/>
      <c r="X373" s="19960"/>
      <c r="Y373" s="19960"/>
      <c r="Z373" s="19960"/>
      <c r="AA373" s="19960"/>
      <c r="AB373" s="19960"/>
      <c r="AC373" s="19969"/>
      <c r="AD373" s="19960">
        <v>0</v>
      </c>
    </row>
    <row s="36666" customFormat="1" customHeight="1" ht="15">
      <c r="A374" s="19960"/>
      <c r="B374" s="19961"/>
      <c r="C374" s="19962"/>
      <c r="D374" s="19963" t="str">
        <f>B373&amp;".2"</f>
        <v>3.113.2</v>
      </c>
      <c r="E374" s="19964" t="s">
        <v>964</v>
      </c>
      <c r="F374" s="19965" t="s">
        <v>324</v>
      </c>
      <c r="G374" s="19680" t="s">
        <v>22</v>
      </c>
      <c r="H374" s="19967" t="s">
        <v>22</v>
      </c>
      <c r="I374" s="19680">
        <v>45405</v>
      </c>
      <c r="J374" s="19967" t="s">
        <v>22</v>
      </c>
      <c r="K374" s="19680" t="s">
        <v>22</v>
      </c>
      <c r="L374" s="19967" t="s">
        <v>22</v>
      </c>
      <c r="M374" s="19680" t="s">
        <v>22</v>
      </c>
      <c r="N374" s="19967" t="s">
        <v>22</v>
      </c>
      <c r="O374" s="29663" t="s">
        <v>22</v>
      </c>
      <c r="P374" s="29959" t="s">
        <v>22</v>
      </c>
      <c r="Q374" s="19680" t="s">
        <v>22</v>
      </c>
      <c r="R374" s="19967" t="s">
        <v>22</v>
      </c>
      <c r="S374" s="19968" t="s">
        <v>965</v>
      </c>
      <c r="T374" s="19960"/>
      <c r="U374" s="19960"/>
      <c r="V374" s="19960"/>
      <c r="W374" s="19960"/>
      <c r="X374" s="19960"/>
      <c r="Y374" s="19960"/>
      <c r="Z374" s="19960"/>
      <c r="AA374" s="19960"/>
      <c r="AB374" s="19960"/>
      <c r="AC374" s="19969"/>
      <c r="AD374" s="19960">
        <v>0</v>
      </c>
    </row>
    <row s="36667" customFormat="1" customHeight="1" ht="15">
      <c r="A375" s="19960"/>
      <c r="B375" s="19961"/>
      <c r="C375" s="19962"/>
      <c r="D375" s="19963" t="str">
        <f>B373&amp;".3"</f>
        <v>3.113.3</v>
      </c>
      <c r="E375" s="19964" t="s">
        <v>966</v>
      </c>
      <c r="F375" s="19965" t="s">
        <v>324</v>
      </c>
      <c r="G375" s="19680" t="s">
        <v>22</v>
      </c>
      <c r="H375" s="19967" t="s">
        <v>22</v>
      </c>
      <c r="I375" s="19680" t="s">
        <v>22</v>
      </c>
      <c r="J375" s="19967" t="s">
        <v>22</v>
      </c>
      <c r="K375" s="19680" t="s">
        <v>22</v>
      </c>
      <c r="L375" s="19967" t="s">
        <v>22</v>
      </c>
      <c r="M375" s="19680" t="s">
        <v>22</v>
      </c>
      <c r="N375" s="19967" t="s">
        <v>22</v>
      </c>
      <c r="O375" s="29663" t="s">
        <v>22</v>
      </c>
      <c r="P375" s="29959" t="s">
        <v>22</v>
      </c>
      <c r="Q375" s="19680" t="s">
        <v>22</v>
      </c>
      <c r="R375" s="19967" t="s">
        <v>22</v>
      </c>
      <c r="S375" s="19968" t="s">
        <v>967</v>
      </c>
      <c r="T375" s="19960"/>
      <c r="U375" s="19960"/>
      <c r="V375" s="19960"/>
      <c r="W375" s="19960"/>
      <c r="X375" s="19960"/>
      <c r="Y375" s="19960"/>
      <c r="Z375" s="19960"/>
      <c r="AA375" s="19960"/>
      <c r="AB375" s="19960"/>
      <c r="AC375" s="19969"/>
      <c r="AD375" s="19960">
        <v>0</v>
      </c>
    </row>
    <row s="36668" customFormat="1" customHeight="1" ht="22.5">
      <c r="A376" s="19960"/>
      <c r="B376" s="19961" t="s">
        <v>1095</v>
      </c>
      <c r="C376" s="19962" t="s">
        <v>103</v>
      </c>
      <c r="D376" s="19963" t="str">
        <f>B376&amp;".1"</f>
        <v>3.114.1</v>
      </c>
      <c r="E376" s="19964" t="s">
        <v>963</v>
      </c>
      <c r="F376" s="19965" t="s">
        <v>324</v>
      </c>
      <c r="G376" s="19966" t="s">
        <v>22</v>
      </c>
      <c r="H376" s="19967" t="s">
        <v>22</v>
      </c>
      <c r="I376" s="19966" t="s">
        <v>1064</v>
      </c>
      <c r="J376" s="19967" t="s">
        <v>22</v>
      </c>
      <c r="K376" s="19966" t="s">
        <v>22</v>
      </c>
      <c r="L376" s="19967" t="s">
        <v>22</v>
      </c>
      <c r="M376" s="19966" t="s">
        <v>22</v>
      </c>
      <c r="N376" s="19967" t="s">
        <v>22</v>
      </c>
      <c r="O376" s="29958" t="s">
        <v>22</v>
      </c>
      <c r="P376" s="29959" t="s">
        <v>22</v>
      </c>
      <c r="Q376" s="19966" t="s">
        <v>22</v>
      </c>
      <c r="R376" s="19967" t="s">
        <v>22</v>
      </c>
      <c r="S376" s="19968"/>
      <c r="T376" s="19960"/>
      <c r="U376" s="19960"/>
      <c r="V376" s="19960"/>
      <c r="W376" s="19960"/>
      <c r="X376" s="19960"/>
      <c r="Y376" s="19960"/>
      <c r="Z376" s="19960"/>
      <c r="AA376" s="19960"/>
      <c r="AB376" s="19960"/>
      <c r="AC376" s="19969"/>
      <c r="AD376" s="19960">
        <v>0</v>
      </c>
    </row>
    <row s="36669" customFormat="1" customHeight="1" ht="15">
      <c r="A377" s="19960"/>
      <c r="B377" s="19961"/>
      <c r="C377" s="19962"/>
      <c r="D377" s="19963" t="str">
        <f>B376&amp;".2"</f>
        <v>3.114.2</v>
      </c>
      <c r="E377" s="19964" t="s">
        <v>964</v>
      </c>
      <c r="F377" s="19965" t="s">
        <v>324</v>
      </c>
      <c r="G377" s="19680" t="s">
        <v>22</v>
      </c>
      <c r="H377" s="19967" t="s">
        <v>22</v>
      </c>
      <c r="I377" s="19680">
        <v>45405</v>
      </c>
      <c r="J377" s="19967" t="s">
        <v>22</v>
      </c>
      <c r="K377" s="19680" t="s">
        <v>22</v>
      </c>
      <c r="L377" s="19967" t="s">
        <v>22</v>
      </c>
      <c r="M377" s="19680" t="s">
        <v>22</v>
      </c>
      <c r="N377" s="19967" t="s">
        <v>22</v>
      </c>
      <c r="O377" s="29663" t="s">
        <v>22</v>
      </c>
      <c r="P377" s="29959" t="s">
        <v>22</v>
      </c>
      <c r="Q377" s="19680" t="s">
        <v>22</v>
      </c>
      <c r="R377" s="19967" t="s">
        <v>22</v>
      </c>
      <c r="S377" s="19968" t="s">
        <v>965</v>
      </c>
      <c r="T377" s="19960"/>
      <c r="U377" s="19960"/>
      <c r="V377" s="19960"/>
      <c r="W377" s="19960"/>
      <c r="X377" s="19960"/>
      <c r="Y377" s="19960"/>
      <c r="Z377" s="19960"/>
      <c r="AA377" s="19960"/>
      <c r="AB377" s="19960"/>
      <c r="AC377" s="19969"/>
      <c r="AD377" s="19960">
        <v>0</v>
      </c>
    </row>
    <row s="36670" customFormat="1" customHeight="1" ht="15">
      <c r="A378" s="19960"/>
      <c r="B378" s="19961"/>
      <c r="C378" s="19962"/>
      <c r="D378" s="19963" t="str">
        <f>B376&amp;".3"</f>
        <v>3.114.3</v>
      </c>
      <c r="E378" s="19964" t="s">
        <v>966</v>
      </c>
      <c r="F378" s="19965" t="s">
        <v>324</v>
      </c>
      <c r="G378" s="19680" t="s">
        <v>22</v>
      </c>
      <c r="H378" s="19967" t="s">
        <v>22</v>
      </c>
      <c r="I378" s="19680" t="s">
        <v>22</v>
      </c>
      <c r="J378" s="19967" t="s">
        <v>22</v>
      </c>
      <c r="K378" s="19680" t="s">
        <v>22</v>
      </c>
      <c r="L378" s="19967" t="s">
        <v>22</v>
      </c>
      <c r="M378" s="19680" t="s">
        <v>22</v>
      </c>
      <c r="N378" s="19967" t="s">
        <v>22</v>
      </c>
      <c r="O378" s="29663" t="s">
        <v>22</v>
      </c>
      <c r="P378" s="29959" t="s">
        <v>22</v>
      </c>
      <c r="Q378" s="19680" t="s">
        <v>22</v>
      </c>
      <c r="R378" s="19967" t="s">
        <v>22</v>
      </c>
      <c r="S378" s="19968" t="s">
        <v>967</v>
      </c>
      <c r="T378" s="19960"/>
      <c r="U378" s="19960"/>
      <c r="V378" s="19960"/>
      <c r="W378" s="19960"/>
      <c r="X378" s="19960"/>
      <c r="Y378" s="19960"/>
      <c r="Z378" s="19960"/>
      <c r="AA378" s="19960"/>
      <c r="AB378" s="19960"/>
      <c r="AC378" s="19969"/>
      <c r="AD378" s="19960">
        <v>0</v>
      </c>
    </row>
    <row s="36671" customFormat="1" customHeight="1" ht="22.5">
      <c r="A379" s="19960"/>
      <c r="B379" s="19961" t="s">
        <v>1096</v>
      </c>
      <c r="C379" s="19962" t="s">
        <v>103</v>
      </c>
      <c r="D379" s="19963" t="str">
        <f>B379&amp;".1"</f>
        <v>3.115.1</v>
      </c>
      <c r="E379" s="19964" t="s">
        <v>963</v>
      </c>
      <c r="F379" s="19965" t="s">
        <v>324</v>
      </c>
      <c r="G379" s="19966" t="s">
        <v>22</v>
      </c>
      <c r="H379" s="19967" t="s">
        <v>22</v>
      </c>
      <c r="I379" s="19966" t="s">
        <v>1064</v>
      </c>
      <c r="J379" s="19967" t="s">
        <v>22</v>
      </c>
      <c r="K379" s="19966" t="s">
        <v>22</v>
      </c>
      <c r="L379" s="19967" t="s">
        <v>22</v>
      </c>
      <c r="M379" s="19966" t="s">
        <v>22</v>
      </c>
      <c r="N379" s="19967" t="s">
        <v>22</v>
      </c>
      <c r="O379" s="29958" t="s">
        <v>22</v>
      </c>
      <c r="P379" s="29959" t="s">
        <v>22</v>
      </c>
      <c r="Q379" s="19966" t="s">
        <v>22</v>
      </c>
      <c r="R379" s="19967" t="s">
        <v>22</v>
      </c>
      <c r="S379" s="19968"/>
      <c r="T379" s="19960"/>
      <c r="U379" s="19960"/>
      <c r="V379" s="19960"/>
      <c r="W379" s="19960"/>
      <c r="X379" s="19960"/>
      <c r="Y379" s="19960"/>
      <c r="Z379" s="19960"/>
      <c r="AA379" s="19960"/>
      <c r="AB379" s="19960"/>
      <c r="AC379" s="19969"/>
      <c r="AD379" s="19960">
        <v>0</v>
      </c>
    </row>
    <row s="36672" customFormat="1" customHeight="1" ht="15">
      <c r="A380" s="19960"/>
      <c r="B380" s="19961"/>
      <c r="C380" s="19962"/>
      <c r="D380" s="19963" t="str">
        <f>B379&amp;".2"</f>
        <v>3.115.2</v>
      </c>
      <c r="E380" s="19964" t="s">
        <v>964</v>
      </c>
      <c r="F380" s="19965" t="s">
        <v>324</v>
      </c>
      <c r="G380" s="19680" t="s">
        <v>22</v>
      </c>
      <c r="H380" s="19967" t="s">
        <v>22</v>
      </c>
      <c r="I380" s="19680">
        <v>45405</v>
      </c>
      <c r="J380" s="19967" t="s">
        <v>22</v>
      </c>
      <c r="K380" s="19680" t="s">
        <v>22</v>
      </c>
      <c r="L380" s="19967" t="s">
        <v>22</v>
      </c>
      <c r="M380" s="19680" t="s">
        <v>22</v>
      </c>
      <c r="N380" s="19967" t="s">
        <v>22</v>
      </c>
      <c r="O380" s="29663" t="s">
        <v>22</v>
      </c>
      <c r="P380" s="29959" t="s">
        <v>22</v>
      </c>
      <c r="Q380" s="19680" t="s">
        <v>22</v>
      </c>
      <c r="R380" s="19967" t="s">
        <v>22</v>
      </c>
      <c r="S380" s="19968" t="s">
        <v>965</v>
      </c>
      <c r="T380" s="19960"/>
      <c r="U380" s="19960"/>
      <c r="V380" s="19960"/>
      <c r="W380" s="19960"/>
      <c r="X380" s="19960"/>
      <c r="Y380" s="19960"/>
      <c r="Z380" s="19960"/>
      <c r="AA380" s="19960"/>
      <c r="AB380" s="19960"/>
      <c r="AC380" s="19969"/>
      <c r="AD380" s="19960">
        <v>0</v>
      </c>
    </row>
    <row s="36673" customFormat="1" customHeight="1" ht="15">
      <c r="A381" s="19960"/>
      <c r="B381" s="19961"/>
      <c r="C381" s="19962"/>
      <c r="D381" s="19963" t="str">
        <f>B379&amp;".3"</f>
        <v>3.115.3</v>
      </c>
      <c r="E381" s="19964" t="s">
        <v>966</v>
      </c>
      <c r="F381" s="19965" t="s">
        <v>324</v>
      </c>
      <c r="G381" s="19680" t="s">
        <v>22</v>
      </c>
      <c r="H381" s="19967" t="s">
        <v>22</v>
      </c>
      <c r="I381" s="19680" t="s">
        <v>22</v>
      </c>
      <c r="J381" s="19967" t="s">
        <v>22</v>
      </c>
      <c r="K381" s="19680" t="s">
        <v>22</v>
      </c>
      <c r="L381" s="19967" t="s">
        <v>22</v>
      </c>
      <c r="M381" s="19680" t="s">
        <v>22</v>
      </c>
      <c r="N381" s="19967" t="s">
        <v>22</v>
      </c>
      <c r="O381" s="29663" t="s">
        <v>22</v>
      </c>
      <c r="P381" s="29959" t="s">
        <v>22</v>
      </c>
      <c r="Q381" s="19680" t="s">
        <v>22</v>
      </c>
      <c r="R381" s="19967" t="s">
        <v>22</v>
      </c>
      <c r="S381" s="19968" t="s">
        <v>967</v>
      </c>
      <c r="T381" s="19960"/>
      <c r="U381" s="19960"/>
      <c r="V381" s="19960"/>
      <c r="W381" s="19960"/>
      <c r="X381" s="19960"/>
      <c r="Y381" s="19960"/>
      <c r="Z381" s="19960"/>
      <c r="AA381" s="19960"/>
      <c r="AB381" s="19960"/>
      <c r="AC381" s="19969"/>
      <c r="AD381" s="19960">
        <v>0</v>
      </c>
    </row>
    <row s="36674" customFormat="1" customHeight="1" ht="22.5">
      <c r="A382" s="19960"/>
      <c r="B382" s="19961" t="s">
        <v>1097</v>
      </c>
      <c r="C382" s="19962" t="s">
        <v>103</v>
      </c>
      <c r="D382" s="19963" t="str">
        <f>B382&amp;".1"</f>
        <v>3.116.1</v>
      </c>
      <c r="E382" s="19964" t="s">
        <v>963</v>
      </c>
      <c r="F382" s="19965" t="s">
        <v>324</v>
      </c>
      <c r="G382" s="19966" t="s">
        <v>22</v>
      </c>
      <c r="H382" s="19967" t="s">
        <v>22</v>
      </c>
      <c r="I382" s="19966" t="s">
        <v>1064</v>
      </c>
      <c r="J382" s="19967" t="s">
        <v>22</v>
      </c>
      <c r="K382" s="19966" t="s">
        <v>22</v>
      </c>
      <c r="L382" s="19967" t="s">
        <v>22</v>
      </c>
      <c r="M382" s="19966" t="s">
        <v>22</v>
      </c>
      <c r="N382" s="19967" t="s">
        <v>22</v>
      </c>
      <c r="O382" s="29958" t="s">
        <v>22</v>
      </c>
      <c r="P382" s="29959" t="s">
        <v>22</v>
      </c>
      <c r="Q382" s="19966" t="s">
        <v>22</v>
      </c>
      <c r="R382" s="19967" t="s">
        <v>22</v>
      </c>
      <c r="S382" s="19968"/>
      <c r="T382" s="19960"/>
      <c r="U382" s="19960"/>
      <c r="V382" s="19960"/>
      <c r="W382" s="19960"/>
      <c r="X382" s="19960"/>
      <c r="Y382" s="19960"/>
      <c r="Z382" s="19960"/>
      <c r="AA382" s="19960"/>
      <c r="AB382" s="19960"/>
      <c r="AC382" s="19969"/>
      <c r="AD382" s="19960">
        <v>0</v>
      </c>
    </row>
    <row s="36675" customFormat="1" customHeight="1" ht="15">
      <c r="A383" s="19960"/>
      <c r="B383" s="19961"/>
      <c r="C383" s="19962"/>
      <c r="D383" s="19963" t="str">
        <f>B382&amp;".2"</f>
        <v>3.116.2</v>
      </c>
      <c r="E383" s="19964" t="s">
        <v>964</v>
      </c>
      <c r="F383" s="19965" t="s">
        <v>324</v>
      </c>
      <c r="G383" s="19680" t="s">
        <v>22</v>
      </c>
      <c r="H383" s="19967" t="s">
        <v>22</v>
      </c>
      <c r="I383" s="19680">
        <v>45406</v>
      </c>
      <c r="J383" s="19967" t="s">
        <v>22</v>
      </c>
      <c r="K383" s="19680" t="s">
        <v>22</v>
      </c>
      <c r="L383" s="19967" t="s">
        <v>22</v>
      </c>
      <c r="M383" s="19680" t="s">
        <v>22</v>
      </c>
      <c r="N383" s="19967" t="s">
        <v>22</v>
      </c>
      <c r="O383" s="29663" t="s">
        <v>22</v>
      </c>
      <c r="P383" s="29959" t="s">
        <v>22</v>
      </c>
      <c r="Q383" s="19680" t="s">
        <v>22</v>
      </c>
      <c r="R383" s="19967" t="s">
        <v>22</v>
      </c>
      <c r="S383" s="19968" t="s">
        <v>965</v>
      </c>
      <c r="T383" s="19960"/>
      <c r="U383" s="19960"/>
      <c r="V383" s="19960"/>
      <c r="W383" s="19960"/>
      <c r="X383" s="19960"/>
      <c r="Y383" s="19960"/>
      <c r="Z383" s="19960"/>
      <c r="AA383" s="19960"/>
      <c r="AB383" s="19960"/>
      <c r="AC383" s="19969"/>
      <c r="AD383" s="19960">
        <v>0</v>
      </c>
    </row>
    <row s="36676" customFormat="1" customHeight="1" ht="15">
      <c r="A384" s="19960"/>
      <c r="B384" s="19961"/>
      <c r="C384" s="19962"/>
      <c r="D384" s="19963" t="str">
        <f>B382&amp;".3"</f>
        <v>3.116.3</v>
      </c>
      <c r="E384" s="19964" t="s">
        <v>966</v>
      </c>
      <c r="F384" s="19965" t="s">
        <v>324</v>
      </c>
      <c r="G384" s="19680" t="s">
        <v>22</v>
      </c>
      <c r="H384" s="19967" t="s">
        <v>22</v>
      </c>
      <c r="I384" s="19680" t="s">
        <v>22</v>
      </c>
      <c r="J384" s="19967" t="s">
        <v>22</v>
      </c>
      <c r="K384" s="19680" t="s">
        <v>22</v>
      </c>
      <c r="L384" s="19967" t="s">
        <v>22</v>
      </c>
      <c r="M384" s="19680" t="s">
        <v>22</v>
      </c>
      <c r="N384" s="19967" t="s">
        <v>22</v>
      </c>
      <c r="O384" s="29663" t="s">
        <v>22</v>
      </c>
      <c r="P384" s="29959" t="s">
        <v>22</v>
      </c>
      <c r="Q384" s="19680" t="s">
        <v>22</v>
      </c>
      <c r="R384" s="19967" t="s">
        <v>22</v>
      </c>
      <c r="S384" s="19968" t="s">
        <v>967</v>
      </c>
      <c r="T384" s="19960"/>
      <c r="U384" s="19960"/>
      <c r="V384" s="19960"/>
      <c r="W384" s="19960"/>
      <c r="X384" s="19960"/>
      <c r="Y384" s="19960"/>
      <c r="Z384" s="19960"/>
      <c r="AA384" s="19960"/>
      <c r="AB384" s="19960"/>
      <c r="AC384" s="19969"/>
      <c r="AD384" s="19960">
        <v>0</v>
      </c>
    </row>
    <row s="36677" customFormat="1" customHeight="1" ht="22.5">
      <c r="A385" s="19960"/>
      <c r="B385" s="19961" t="s">
        <v>1098</v>
      </c>
      <c r="C385" s="19962" t="s">
        <v>103</v>
      </c>
      <c r="D385" s="19963" t="str">
        <f>B385&amp;".1"</f>
        <v>3.117.1</v>
      </c>
      <c r="E385" s="19964" t="s">
        <v>963</v>
      </c>
      <c r="F385" s="19965" t="s">
        <v>324</v>
      </c>
      <c r="G385" s="19966" t="s">
        <v>22</v>
      </c>
      <c r="H385" s="19967" t="s">
        <v>22</v>
      </c>
      <c r="I385" s="19966" t="s">
        <v>1071</v>
      </c>
      <c r="J385" s="19967" t="s">
        <v>22</v>
      </c>
      <c r="K385" s="19966" t="s">
        <v>22</v>
      </c>
      <c r="L385" s="19967" t="s">
        <v>22</v>
      </c>
      <c r="M385" s="19966" t="s">
        <v>22</v>
      </c>
      <c r="N385" s="19967" t="s">
        <v>22</v>
      </c>
      <c r="O385" s="29958" t="s">
        <v>22</v>
      </c>
      <c r="P385" s="29959" t="s">
        <v>22</v>
      </c>
      <c r="Q385" s="19966" t="s">
        <v>22</v>
      </c>
      <c r="R385" s="19967" t="s">
        <v>22</v>
      </c>
      <c r="S385" s="19968"/>
      <c r="T385" s="19960"/>
      <c r="U385" s="19960"/>
      <c r="V385" s="19960"/>
      <c r="W385" s="19960"/>
      <c r="X385" s="19960"/>
      <c r="Y385" s="19960"/>
      <c r="Z385" s="19960"/>
      <c r="AA385" s="19960"/>
      <c r="AB385" s="19960"/>
      <c r="AC385" s="19969"/>
      <c r="AD385" s="19960">
        <v>0</v>
      </c>
    </row>
    <row s="36678" customFormat="1" customHeight="1" ht="15">
      <c r="A386" s="19960"/>
      <c r="B386" s="19961"/>
      <c r="C386" s="19962"/>
      <c r="D386" s="19963" t="str">
        <f>B385&amp;".2"</f>
        <v>3.117.2</v>
      </c>
      <c r="E386" s="19964" t="s">
        <v>964</v>
      </c>
      <c r="F386" s="19965" t="s">
        <v>324</v>
      </c>
      <c r="G386" s="19680" t="s">
        <v>22</v>
      </c>
      <c r="H386" s="19967" t="s">
        <v>22</v>
      </c>
      <c r="I386" s="19680">
        <v>45406</v>
      </c>
      <c r="J386" s="19967" t="s">
        <v>22</v>
      </c>
      <c r="K386" s="19680" t="s">
        <v>22</v>
      </c>
      <c r="L386" s="19967" t="s">
        <v>22</v>
      </c>
      <c r="M386" s="19680" t="s">
        <v>22</v>
      </c>
      <c r="N386" s="19967" t="s">
        <v>22</v>
      </c>
      <c r="O386" s="29663" t="s">
        <v>22</v>
      </c>
      <c r="P386" s="29959" t="s">
        <v>22</v>
      </c>
      <c r="Q386" s="19680" t="s">
        <v>22</v>
      </c>
      <c r="R386" s="19967" t="s">
        <v>22</v>
      </c>
      <c r="S386" s="19968" t="s">
        <v>965</v>
      </c>
      <c r="T386" s="19960"/>
      <c r="U386" s="19960"/>
      <c r="V386" s="19960"/>
      <c r="W386" s="19960"/>
      <c r="X386" s="19960"/>
      <c r="Y386" s="19960"/>
      <c r="Z386" s="19960"/>
      <c r="AA386" s="19960"/>
      <c r="AB386" s="19960"/>
      <c r="AC386" s="19969"/>
      <c r="AD386" s="19960">
        <v>0</v>
      </c>
    </row>
    <row s="36679" customFormat="1" customHeight="1" ht="15">
      <c r="A387" s="19960"/>
      <c r="B387" s="19961"/>
      <c r="C387" s="19962"/>
      <c r="D387" s="19963" t="str">
        <f>B385&amp;".3"</f>
        <v>3.117.3</v>
      </c>
      <c r="E387" s="19964" t="s">
        <v>966</v>
      </c>
      <c r="F387" s="19965" t="s">
        <v>324</v>
      </c>
      <c r="G387" s="19680" t="s">
        <v>22</v>
      </c>
      <c r="H387" s="19967" t="s">
        <v>22</v>
      </c>
      <c r="I387" s="19680" t="s">
        <v>22</v>
      </c>
      <c r="J387" s="19967" t="s">
        <v>22</v>
      </c>
      <c r="K387" s="19680" t="s">
        <v>22</v>
      </c>
      <c r="L387" s="19967" t="s">
        <v>22</v>
      </c>
      <c r="M387" s="19680" t="s">
        <v>22</v>
      </c>
      <c r="N387" s="19967" t="s">
        <v>22</v>
      </c>
      <c r="O387" s="29663" t="s">
        <v>22</v>
      </c>
      <c r="P387" s="29959" t="s">
        <v>22</v>
      </c>
      <c r="Q387" s="19680" t="s">
        <v>22</v>
      </c>
      <c r="R387" s="19967" t="s">
        <v>22</v>
      </c>
      <c r="S387" s="19968" t="s">
        <v>967</v>
      </c>
      <c r="T387" s="19960"/>
      <c r="U387" s="19960"/>
      <c r="V387" s="19960"/>
      <c r="W387" s="19960"/>
      <c r="X387" s="19960"/>
      <c r="Y387" s="19960"/>
      <c r="Z387" s="19960"/>
      <c r="AA387" s="19960"/>
      <c r="AB387" s="19960"/>
      <c r="AC387" s="19969"/>
      <c r="AD387" s="19960">
        <v>0</v>
      </c>
    </row>
    <row s="36680" customFormat="1" customHeight="1" ht="22.5">
      <c r="A388" s="19960"/>
      <c r="B388" s="19961" t="s">
        <v>1099</v>
      </c>
      <c r="C388" s="19962" t="s">
        <v>103</v>
      </c>
      <c r="D388" s="19963" t="str">
        <f>B388&amp;".1"</f>
        <v>3.118.1</v>
      </c>
      <c r="E388" s="19964" t="s">
        <v>963</v>
      </c>
      <c r="F388" s="19965" t="s">
        <v>324</v>
      </c>
      <c r="G388" s="19966" t="s">
        <v>22</v>
      </c>
      <c r="H388" s="19967" t="s">
        <v>22</v>
      </c>
      <c r="I388" s="19966" t="s">
        <v>1064</v>
      </c>
      <c r="J388" s="19967" t="s">
        <v>22</v>
      </c>
      <c r="K388" s="19966" t="s">
        <v>22</v>
      </c>
      <c r="L388" s="19967" t="s">
        <v>22</v>
      </c>
      <c r="M388" s="19966" t="s">
        <v>22</v>
      </c>
      <c r="N388" s="19967" t="s">
        <v>22</v>
      </c>
      <c r="O388" s="29958" t="s">
        <v>22</v>
      </c>
      <c r="P388" s="29959" t="s">
        <v>22</v>
      </c>
      <c r="Q388" s="19966" t="s">
        <v>22</v>
      </c>
      <c r="R388" s="19967" t="s">
        <v>22</v>
      </c>
      <c r="S388" s="19968"/>
      <c r="T388" s="19960"/>
      <c r="U388" s="19960"/>
      <c r="V388" s="19960"/>
      <c r="W388" s="19960"/>
      <c r="X388" s="19960"/>
      <c r="Y388" s="19960"/>
      <c r="Z388" s="19960"/>
      <c r="AA388" s="19960"/>
      <c r="AB388" s="19960"/>
      <c r="AC388" s="19969"/>
      <c r="AD388" s="19960">
        <v>0</v>
      </c>
    </row>
    <row s="36681" customFormat="1" customHeight="1" ht="15">
      <c r="A389" s="19960"/>
      <c r="B389" s="19961"/>
      <c r="C389" s="19962"/>
      <c r="D389" s="19963" t="str">
        <f>B388&amp;".2"</f>
        <v>3.118.2</v>
      </c>
      <c r="E389" s="19964" t="s">
        <v>964</v>
      </c>
      <c r="F389" s="19965" t="s">
        <v>324</v>
      </c>
      <c r="G389" s="19680" t="s">
        <v>22</v>
      </c>
      <c r="H389" s="19967" t="s">
        <v>22</v>
      </c>
      <c r="I389" s="19680">
        <v>45406</v>
      </c>
      <c r="J389" s="19967" t="s">
        <v>22</v>
      </c>
      <c r="K389" s="19680" t="s">
        <v>22</v>
      </c>
      <c r="L389" s="19967" t="s">
        <v>22</v>
      </c>
      <c r="M389" s="19680" t="s">
        <v>22</v>
      </c>
      <c r="N389" s="19967" t="s">
        <v>22</v>
      </c>
      <c r="O389" s="29663" t="s">
        <v>22</v>
      </c>
      <c r="P389" s="29959" t="s">
        <v>22</v>
      </c>
      <c r="Q389" s="19680" t="s">
        <v>22</v>
      </c>
      <c r="R389" s="19967" t="s">
        <v>22</v>
      </c>
      <c r="S389" s="19968" t="s">
        <v>965</v>
      </c>
      <c r="T389" s="19960"/>
      <c r="U389" s="19960"/>
      <c r="V389" s="19960"/>
      <c r="W389" s="19960"/>
      <c r="X389" s="19960"/>
      <c r="Y389" s="19960"/>
      <c r="Z389" s="19960"/>
      <c r="AA389" s="19960"/>
      <c r="AB389" s="19960"/>
      <c r="AC389" s="19969"/>
      <c r="AD389" s="19960">
        <v>0</v>
      </c>
    </row>
    <row s="36682" customFormat="1" customHeight="1" ht="15">
      <c r="A390" s="19960"/>
      <c r="B390" s="19961"/>
      <c r="C390" s="19962"/>
      <c r="D390" s="19963" t="str">
        <f>B388&amp;".3"</f>
        <v>3.118.3</v>
      </c>
      <c r="E390" s="19964" t="s">
        <v>966</v>
      </c>
      <c r="F390" s="19965" t="s">
        <v>324</v>
      </c>
      <c r="G390" s="19680" t="s">
        <v>22</v>
      </c>
      <c r="H390" s="19967" t="s">
        <v>22</v>
      </c>
      <c r="I390" s="19680" t="s">
        <v>22</v>
      </c>
      <c r="J390" s="19967" t="s">
        <v>22</v>
      </c>
      <c r="K390" s="19680" t="s">
        <v>22</v>
      </c>
      <c r="L390" s="19967" t="s">
        <v>22</v>
      </c>
      <c r="M390" s="19680" t="s">
        <v>22</v>
      </c>
      <c r="N390" s="19967" t="s">
        <v>22</v>
      </c>
      <c r="O390" s="29663" t="s">
        <v>22</v>
      </c>
      <c r="P390" s="29959" t="s">
        <v>22</v>
      </c>
      <c r="Q390" s="19680" t="s">
        <v>22</v>
      </c>
      <c r="R390" s="19967" t="s">
        <v>22</v>
      </c>
      <c r="S390" s="19968" t="s">
        <v>967</v>
      </c>
      <c r="T390" s="19960"/>
      <c r="U390" s="19960"/>
      <c r="V390" s="19960"/>
      <c r="W390" s="19960"/>
      <c r="X390" s="19960"/>
      <c r="Y390" s="19960"/>
      <c r="Z390" s="19960"/>
      <c r="AA390" s="19960"/>
      <c r="AB390" s="19960"/>
      <c r="AC390" s="19969"/>
      <c r="AD390" s="19960">
        <v>0</v>
      </c>
    </row>
    <row s="36683" customFormat="1" customHeight="1" ht="22.5">
      <c r="A391" s="19960"/>
      <c r="B391" s="19961" t="s">
        <v>1100</v>
      </c>
      <c r="C391" s="19962" t="s">
        <v>103</v>
      </c>
      <c r="D391" s="19963" t="str">
        <f>B391&amp;".1"</f>
        <v>3.119.1</v>
      </c>
      <c r="E391" s="19964" t="s">
        <v>963</v>
      </c>
      <c r="F391" s="19965" t="s">
        <v>324</v>
      </c>
      <c r="G391" s="19966" t="s">
        <v>22</v>
      </c>
      <c r="H391" s="19967" t="s">
        <v>22</v>
      </c>
      <c r="I391" s="19966" t="s">
        <v>1064</v>
      </c>
      <c r="J391" s="19967" t="s">
        <v>22</v>
      </c>
      <c r="K391" s="19966" t="s">
        <v>22</v>
      </c>
      <c r="L391" s="19967" t="s">
        <v>22</v>
      </c>
      <c r="M391" s="19966" t="s">
        <v>22</v>
      </c>
      <c r="N391" s="19967" t="s">
        <v>22</v>
      </c>
      <c r="O391" s="29958" t="s">
        <v>22</v>
      </c>
      <c r="P391" s="29959" t="s">
        <v>22</v>
      </c>
      <c r="Q391" s="19966" t="s">
        <v>22</v>
      </c>
      <c r="R391" s="19967" t="s">
        <v>22</v>
      </c>
      <c r="S391" s="19968"/>
      <c r="T391" s="19960"/>
      <c r="U391" s="19960"/>
      <c r="V391" s="19960"/>
      <c r="W391" s="19960"/>
      <c r="X391" s="19960"/>
      <c r="Y391" s="19960"/>
      <c r="Z391" s="19960"/>
      <c r="AA391" s="19960"/>
      <c r="AB391" s="19960"/>
      <c r="AC391" s="19969"/>
      <c r="AD391" s="19960">
        <v>0</v>
      </c>
    </row>
    <row s="36684" customFormat="1" customHeight="1" ht="15">
      <c r="A392" s="19960"/>
      <c r="B392" s="19961"/>
      <c r="C392" s="19962"/>
      <c r="D392" s="19963" t="str">
        <f>B391&amp;".2"</f>
        <v>3.119.2</v>
      </c>
      <c r="E392" s="19964" t="s">
        <v>964</v>
      </c>
      <c r="F392" s="19965" t="s">
        <v>324</v>
      </c>
      <c r="G392" s="19680" t="s">
        <v>22</v>
      </c>
      <c r="H392" s="19967" t="s">
        <v>22</v>
      </c>
      <c r="I392" s="19680">
        <v>45406</v>
      </c>
      <c r="J392" s="19967" t="s">
        <v>22</v>
      </c>
      <c r="K392" s="19680" t="s">
        <v>22</v>
      </c>
      <c r="L392" s="19967" t="s">
        <v>22</v>
      </c>
      <c r="M392" s="19680" t="s">
        <v>22</v>
      </c>
      <c r="N392" s="19967" t="s">
        <v>22</v>
      </c>
      <c r="O392" s="29663" t="s">
        <v>22</v>
      </c>
      <c r="P392" s="29959" t="s">
        <v>22</v>
      </c>
      <c r="Q392" s="19680" t="s">
        <v>22</v>
      </c>
      <c r="R392" s="19967" t="s">
        <v>22</v>
      </c>
      <c r="S392" s="19968" t="s">
        <v>965</v>
      </c>
      <c r="T392" s="19960"/>
      <c r="U392" s="19960"/>
      <c r="V392" s="19960"/>
      <c r="W392" s="19960"/>
      <c r="X392" s="19960"/>
      <c r="Y392" s="19960"/>
      <c r="Z392" s="19960"/>
      <c r="AA392" s="19960"/>
      <c r="AB392" s="19960"/>
      <c r="AC392" s="19969"/>
      <c r="AD392" s="19960">
        <v>0</v>
      </c>
    </row>
    <row s="36685" customFormat="1" customHeight="1" ht="15">
      <c r="A393" s="19960"/>
      <c r="B393" s="19961"/>
      <c r="C393" s="19962"/>
      <c r="D393" s="19963" t="str">
        <f>B391&amp;".3"</f>
        <v>3.119.3</v>
      </c>
      <c r="E393" s="19964" t="s">
        <v>966</v>
      </c>
      <c r="F393" s="19965" t="s">
        <v>324</v>
      </c>
      <c r="G393" s="19680" t="s">
        <v>22</v>
      </c>
      <c r="H393" s="19967" t="s">
        <v>22</v>
      </c>
      <c r="I393" s="19680" t="s">
        <v>22</v>
      </c>
      <c r="J393" s="19967" t="s">
        <v>22</v>
      </c>
      <c r="K393" s="19680" t="s">
        <v>22</v>
      </c>
      <c r="L393" s="19967" t="s">
        <v>22</v>
      </c>
      <c r="M393" s="19680" t="s">
        <v>22</v>
      </c>
      <c r="N393" s="19967" t="s">
        <v>22</v>
      </c>
      <c r="O393" s="29663" t="s">
        <v>22</v>
      </c>
      <c r="P393" s="29959" t="s">
        <v>22</v>
      </c>
      <c r="Q393" s="19680" t="s">
        <v>22</v>
      </c>
      <c r="R393" s="19967" t="s">
        <v>22</v>
      </c>
      <c r="S393" s="19968" t="s">
        <v>967</v>
      </c>
      <c r="T393" s="19960"/>
      <c r="U393" s="19960"/>
      <c r="V393" s="19960"/>
      <c r="W393" s="19960"/>
      <c r="X393" s="19960"/>
      <c r="Y393" s="19960"/>
      <c r="Z393" s="19960"/>
      <c r="AA393" s="19960"/>
      <c r="AB393" s="19960"/>
      <c r="AC393" s="19969"/>
      <c r="AD393" s="19960">
        <v>0</v>
      </c>
    </row>
    <row s="36686" customFormat="1" customHeight="1" ht="22.5">
      <c r="A394" s="19960"/>
      <c r="B394" s="19961" t="s">
        <v>1101</v>
      </c>
      <c r="C394" s="19962" t="s">
        <v>103</v>
      </c>
      <c r="D394" s="19963" t="str">
        <f>B394&amp;".1"</f>
        <v>3.120.1</v>
      </c>
      <c r="E394" s="19964" t="s">
        <v>963</v>
      </c>
      <c r="F394" s="19965" t="s">
        <v>324</v>
      </c>
      <c r="G394" s="19966" t="s">
        <v>22</v>
      </c>
      <c r="H394" s="19967" t="s">
        <v>22</v>
      </c>
      <c r="I394" s="19966" t="s">
        <v>1071</v>
      </c>
      <c r="J394" s="19967" t="s">
        <v>22</v>
      </c>
      <c r="K394" s="19966" t="s">
        <v>22</v>
      </c>
      <c r="L394" s="19967" t="s">
        <v>22</v>
      </c>
      <c r="M394" s="19966" t="s">
        <v>22</v>
      </c>
      <c r="N394" s="19967" t="s">
        <v>22</v>
      </c>
      <c r="O394" s="29958" t="s">
        <v>22</v>
      </c>
      <c r="P394" s="29959" t="s">
        <v>22</v>
      </c>
      <c r="Q394" s="19966" t="s">
        <v>22</v>
      </c>
      <c r="R394" s="19967" t="s">
        <v>22</v>
      </c>
      <c r="S394" s="19968"/>
      <c r="T394" s="19960"/>
      <c r="U394" s="19960"/>
      <c r="V394" s="19960"/>
      <c r="W394" s="19960"/>
      <c r="X394" s="19960"/>
      <c r="Y394" s="19960"/>
      <c r="Z394" s="19960"/>
      <c r="AA394" s="19960"/>
      <c r="AB394" s="19960"/>
      <c r="AC394" s="19969"/>
      <c r="AD394" s="19960">
        <v>0</v>
      </c>
    </row>
    <row s="36687" customFormat="1" customHeight="1" ht="15">
      <c r="A395" s="19960"/>
      <c r="B395" s="19961"/>
      <c r="C395" s="19962"/>
      <c r="D395" s="19963" t="str">
        <f>B394&amp;".2"</f>
        <v>3.120.2</v>
      </c>
      <c r="E395" s="19964" t="s">
        <v>964</v>
      </c>
      <c r="F395" s="19965" t="s">
        <v>324</v>
      </c>
      <c r="G395" s="19680" t="s">
        <v>22</v>
      </c>
      <c r="H395" s="19967" t="s">
        <v>22</v>
      </c>
      <c r="I395" s="19680">
        <v>45406</v>
      </c>
      <c r="J395" s="19967" t="s">
        <v>22</v>
      </c>
      <c r="K395" s="19680" t="s">
        <v>22</v>
      </c>
      <c r="L395" s="19967" t="s">
        <v>22</v>
      </c>
      <c r="M395" s="19680" t="s">
        <v>22</v>
      </c>
      <c r="N395" s="19967" t="s">
        <v>22</v>
      </c>
      <c r="O395" s="29663" t="s">
        <v>22</v>
      </c>
      <c r="P395" s="29959" t="s">
        <v>22</v>
      </c>
      <c r="Q395" s="19680" t="s">
        <v>22</v>
      </c>
      <c r="R395" s="19967" t="s">
        <v>22</v>
      </c>
      <c r="S395" s="19968" t="s">
        <v>965</v>
      </c>
      <c r="T395" s="19960"/>
      <c r="U395" s="19960"/>
      <c r="V395" s="19960"/>
      <c r="W395" s="19960"/>
      <c r="X395" s="19960"/>
      <c r="Y395" s="19960"/>
      <c r="Z395" s="19960"/>
      <c r="AA395" s="19960"/>
      <c r="AB395" s="19960"/>
      <c r="AC395" s="19969"/>
      <c r="AD395" s="19960">
        <v>0</v>
      </c>
    </row>
    <row s="36688" customFormat="1" customHeight="1" ht="15">
      <c r="A396" s="19960"/>
      <c r="B396" s="19961"/>
      <c r="C396" s="19962"/>
      <c r="D396" s="19963" t="str">
        <f>B394&amp;".3"</f>
        <v>3.120.3</v>
      </c>
      <c r="E396" s="19964" t="s">
        <v>966</v>
      </c>
      <c r="F396" s="19965" t="s">
        <v>324</v>
      </c>
      <c r="G396" s="19680" t="s">
        <v>22</v>
      </c>
      <c r="H396" s="19967" t="s">
        <v>22</v>
      </c>
      <c r="I396" s="19680" t="s">
        <v>22</v>
      </c>
      <c r="J396" s="19967" t="s">
        <v>22</v>
      </c>
      <c r="K396" s="19680" t="s">
        <v>22</v>
      </c>
      <c r="L396" s="19967" t="s">
        <v>22</v>
      </c>
      <c r="M396" s="19680" t="s">
        <v>22</v>
      </c>
      <c r="N396" s="19967" t="s">
        <v>22</v>
      </c>
      <c r="O396" s="29663" t="s">
        <v>22</v>
      </c>
      <c r="P396" s="29959" t="s">
        <v>22</v>
      </c>
      <c r="Q396" s="19680" t="s">
        <v>22</v>
      </c>
      <c r="R396" s="19967" t="s">
        <v>22</v>
      </c>
      <c r="S396" s="19968" t="s">
        <v>967</v>
      </c>
      <c r="T396" s="19960"/>
      <c r="U396" s="19960"/>
      <c r="V396" s="19960"/>
      <c r="W396" s="19960"/>
      <c r="X396" s="19960"/>
      <c r="Y396" s="19960"/>
      <c r="Z396" s="19960"/>
      <c r="AA396" s="19960"/>
      <c r="AB396" s="19960"/>
      <c r="AC396" s="19969"/>
      <c r="AD396" s="19960">
        <v>0</v>
      </c>
    </row>
    <row s="36689" customFormat="1" customHeight="1" ht="22.5">
      <c r="A397" s="19960"/>
      <c r="B397" s="19961" t="s">
        <v>1102</v>
      </c>
      <c r="C397" s="19962" t="s">
        <v>103</v>
      </c>
      <c r="D397" s="19963" t="str">
        <f>B397&amp;".1"</f>
        <v>3.121.1</v>
      </c>
      <c r="E397" s="19964" t="s">
        <v>963</v>
      </c>
      <c r="F397" s="19965" t="s">
        <v>324</v>
      </c>
      <c r="G397" s="19966" t="s">
        <v>22</v>
      </c>
      <c r="H397" s="19967" t="s">
        <v>22</v>
      </c>
      <c r="I397" s="19966" t="s">
        <v>1064</v>
      </c>
      <c r="J397" s="19967" t="s">
        <v>22</v>
      </c>
      <c r="K397" s="19966" t="s">
        <v>22</v>
      </c>
      <c r="L397" s="19967" t="s">
        <v>22</v>
      </c>
      <c r="M397" s="19966" t="s">
        <v>22</v>
      </c>
      <c r="N397" s="19967" t="s">
        <v>22</v>
      </c>
      <c r="O397" s="29958" t="s">
        <v>22</v>
      </c>
      <c r="P397" s="29959" t="s">
        <v>22</v>
      </c>
      <c r="Q397" s="19966" t="s">
        <v>22</v>
      </c>
      <c r="R397" s="19967" t="s">
        <v>22</v>
      </c>
      <c r="S397" s="19968"/>
      <c r="T397" s="19960"/>
      <c r="U397" s="19960"/>
      <c r="V397" s="19960"/>
      <c r="W397" s="19960"/>
      <c r="X397" s="19960"/>
      <c r="Y397" s="19960"/>
      <c r="Z397" s="19960"/>
      <c r="AA397" s="19960"/>
      <c r="AB397" s="19960"/>
      <c r="AC397" s="19969"/>
      <c r="AD397" s="19960">
        <v>0</v>
      </c>
    </row>
    <row s="36690" customFormat="1" customHeight="1" ht="15">
      <c r="A398" s="19960"/>
      <c r="B398" s="19961"/>
      <c r="C398" s="19962"/>
      <c r="D398" s="19963" t="str">
        <f>B397&amp;".2"</f>
        <v>3.121.2</v>
      </c>
      <c r="E398" s="19964" t="s">
        <v>964</v>
      </c>
      <c r="F398" s="19965" t="s">
        <v>324</v>
      </c>
      <c r="G398" s="19680" t="s">
        <v>22</v>
      </c>
      <c r="H398" s="19967" t="s">
        <v>22</v>
      </c>
      <c r="I398" s="19680">
        <v>45406</v>
      </c>
      <c r="J398" s="19967" t="s">
        <v>22</v>
      </c>
      <c r="K398" s="19680" t="s">
        <v>22</v>
      </c>
      <c r="L398" s="19967" t="s">
        <v>22</v>
      </c>
      <c r="M398" s="19680" t="s">
        <v>22</v>
      </c>
      <c r="N398" s="19967" t="s">
        <v>22</v>
      </c>
      <c r="O398" s="29663" t="s">
        <v>22</v>
      </c>
      <c r="P398" s="29959" t="s">
        <v>22</v>
      </c>
      <c r="Q398" s="19680" t="s">
        <v>22</v>
      </c>
      <c r="R398" s="19967" t="s">
        <v>22</v>
      </c>
      <c r="S398" s="19968" t="s">
        <v>965</v>
      </c>
      <c r="T398" s="19960"/>
      <c r="U398" s="19960"/>
      <c r="V398" s="19960"/>
      <c r="W398" s="19960"/>
      <c r="X398" s="19960"/>
      <c r="Y398" s="19960"/>
      <c r="Z398" s="19960"/>
      <c r="AA398" s="19960"/>
      <c r="AB398" s="19960"/>
      <c r="AC398" s="19969"/>
      <c r="AD398" s="19960">
        <v>0</v>
      </c>
    </row>
    <row s="36691" customFormat="1" customHeight="1" ht="15">
      <c r="A399" s="19960"/>
      <c r="B399" s="19961"/>
      <c r="C399" s="19962"/>
      <c r="D399" s="19963" t="str">
        <f>B397&amp;".3"</f>
        <v>3.121.3</v>
      </c>
      <c r="E399" s="19964" t="s">
        <v>966</v>
      </c>
      <c r="F399" s="19965" t="s">
        <v>324</v>
      </c>
      <c r="G399" s="19680" t="s">
        <v>22</v>
      </c>
      <c r="H399" s="19967" t="s">
        <v>22</v>
      </c>
      <c r="I399" s="19680" t="s">
        <v>22</v>
      </c>
      <c r="J399" s="19967" t="s">
        <v>22</v>
      </c>
      <c r="K399" s="19680" t="s">
        <v>22</v>
      </c>
      <c r="L399" s="19967" t="s">
        <v>22</v>
      </c>
      <c r="M399" s="19680" t="s">
        <v>22</v>
      </c>
      <c r="N399" s="19967" t="s">
        <v>22</v>
      </c>
      <c r="O399" s="29663" t="s">
        <v>22</v>
      </c>
      <c r="P399" s="29959" t="s">
        <v>22</v>
      </c>
      <c r="Q399" s="19680" t="s">
        <v>22</v>
      </c>
      <c r="R399" s="19967" t="s">
        <v>22</v>
      </c>
      <c r="S399" s="19968" t="s">
        <v>967</v>
      </c>
      <c r="T399" s="19960"/>
      <c r="U399" s="19960"/>
      <c r="V399" s="19960"/>
      <c r="W399" s="19960"/>
      <c r="X399" s="19960"/>
      <c r="Y399" s="19960"/>
      <c r="Z399" s="19960"/>
      <c r="AA399" s="19960"/>
      <c r="AB399" s="19960"/>
      <c r="AC399" s="19969"/>
      <c r="AD399" s="19960">
        <v>0</v>
      </c>
    </row>
    <row s="36692" customFormat="1" customHeight="1" ht="22.5">
      <c r="A400" s="19960"/>
      <c r="B400" s="19961" t="s">
        <v>1103</v>
      </c>
      <c r="C400" s="19962" t="s">
        <v>103</v>
      </c>
      <c r="D400" s="19963" t="str">
        <f>B400&amp;".1"</f>
        <v>3.122.1</v>
      </c>
      <c r="E400" s="19964" t="s">
        <v>963</v>
      </c>
      <c r="F400" s="19965" t="s">
        <v>324</v>
      </c>
      <c r="G400" s="19966" t="s">
        <v>22</v>
      </c>
      <c r="H400" s="19967" t="s">
        <v>22</v>
      </c>
      <c r="I400" s="19966" t="s">
        <v>1071</v>
      </c>
      <c r="J400" s="19967" t="s">
        <v>22</v>
      </c>
      <c r="K400" s="19966" t="s">
        <v>22</v>
      </c>
      <c r="L400" s="19967" t="s">
        <v>22</v>
      </c>
      <c r="M400" s="19966" t="s">
        <v>22</v>
      </c>
      <c r="N400" s="19967" t="s">
        <v>22</v>
      </c>
      <c r="O400" s="29958" t="s">
        <v>22</v>
      </c>
      <c r="P400" s="29959" t="s">
        <v>22</v>
      </c>
      <c r="Q400" s="19966" t="s">
        <v>22</v>
      </c>
      <c r="R400" s="19967" t="s">
        <v>22</v>
      </c>
      <c r="S400" s="19968"/>
      <c r="T400" s="19960"/>
      <c r="U400" s="19960"/>
      <c r="V400" s="19960"/>
      <c r="W400" s="19960"/>
      <c r="X400" s="19960"/>
      <c r="Y400" s="19960"/>
      <c r="Z400" s="19960"/>
      <c r="AA400" s="19960"/>
      <c r="AB400" s="19960"/>
      <c r="AC400" s="19969"/>
      <c r="AD400" s="19960">
        <v>0</v>
      </c>
    </row>
    <row s="36693" customFormat="1" customHeight="1" ht="15">
      <c r="A401" s="19960"/>
      <c r="B401" s="19961"/>
      <c r="C401" s="19962"/>
      <c r="D401" s="19963" t="str">
        <f>B400&amp;".2"</f>
        <v>3.122.2</v>
      </c>
      <c r="E401" s="19964" t="s">
        <v>964</v>
      </c>
      <c r="F401" s="19965" t="s">
        <v>324</v>
      </c>
      <c r="G401" s="19680" t="s">
        <v>22</v>
      </c>
      <c r="H401" s="19967" t="s">
        <v>22</v>
      </c>
      <c r="I401" s="19680">
        <v>45407</v>
      </c>
      <c r="J401" s="19967" t="s">
        <v>22</v>
      </c>
      <c r="K401" s="19680" t="s">
        <v>22</v>
      </c>
      <c r="L401" s="19967" t="s">
        <v>22</v>
      </c>
      <c r="M401" s="19680" t="s">
        <v>22</v>
      </c>
      <c r="N401" s="19967" t="s">
        <v>22</v>
      </c>
      <c r="O401" s="29663" t="s">
        <v>22</v>
      </c>
      <c r="P401" s="29959" t="s">
        <v>22</v>
      </c>
      <c r="Q401" s="19680" t="s">
        <v>22</v>
      </c>
      <c r="R401" s="19967" t="s">
        <v>22</v>
      </c>
      <c r="S401" s="19968" t="s">
        <v>965</v>
      </c>
      <c r="T401" s="19960"/>
      <c r="U401" s="19960"/>
      <c r="V401" s="19960"/>
      <c r="W401" s="19960"/>
      <c r="X401" s="19960"/>
      <c r="Y401" s="19960"/>
      <c r="Z401" s="19960"/>
      <c r="AA401" s="19960"/>
      <c r="AB401" s="19960"/>
      <c r="AC401" s="19969"/>
      <c r="AD401" s="19960">
        <v>0</v>
      </c>
    </row>
    <row s="36694" customFormat="1" customHeight="1" ht="15">
      <c r="A402" s="19960"/>
      <c r="B402" s="19961"/>
      <c r="C402" s="19962"/>
      <c r="D402" s="19963" t="str">
        <f>B400&amp;".3"</f>
        <v>3.122.3</v>
      </c>
      <c r="E402" s="19964" t="s">
        <v>966</v>
      </c>
      <c r="F402" s="19965" t="s">
        <v>324</v>
      </c>
      <c r="G402" s="19680" t="s">
        <v>22</v>
      </c>
      <c r="H402" s="19967" t="s">
        <v>22</v>
      </c>
      <c r="I402" s="19680" t="s">
        <v>22</v>
      </c>
      <c r="J402" s="19967" t="s">
        <v>22</v>
      </c>
      <c r="K402" s="19680" t="s">
        <v>22</v>
      </c>
      <c r="L402" s="19967" t="s">
        <v>22</v>
      </c>
      <c r="M402" s="19680" t="s">
        <v>22</v>
      </c>
      <c r="N402" s="19967" t="s">
        <v>22</v>
      </c>
      <c r="O402" s="29663" t="s">
        <v>22</v>
      </c>
      <c r="P402" s="29959" t="s">
        <v>22</v>
      </c>
      <c r="Q402" s="19680" t="s">
        <v>22</v>
      </c>
      <c r="R402" s="19967" t="s">
        <v>22</v>
      </c>
      <c r="S402" s="19968" t="s">
        <v>967</v>
      </c>
      <c r="T402" s="19960"/>
      <c r="U402" s="19960"/>
      <c r="V402" s="19960"/>
      <c r="W402" s="19960"/>
      <c r="X402" s="19960"/>
      <c r="Y402" s="19960"/>
      <c r="Z402" s="19960"/>
      <c r="AA402" s="19960"/>
      <c r="AB402" s="19960"/>
      <c r="AC402" s="19969"/>
      <c r="AD402" s="19960">
        <v>0</v>
      </c>
    </row>
    <row s="36695" customFormat="1" customHeight="1" ht="22.5">
      <c r="A403" s="19960"/>
      <c r="B403" s="19961" t="s">
        <v>1104</v>
      </c>
      <c r="C403" s="19962" t="s">
        <v>103</v>
      </c>
      <c r="D403" s="19963" t="str">
        <f>B403&amp;".1"</f>
        <v>3.123.1</v>
      </c>
      <c r="E403" s="19964" t="s">
        <v>963</v>
      </c>
      <c r="F403" s="19965" t="s">
        <v>324</v>
      </c>
      <c r="G403" s="19966" t="s">
        <v>22</v>
      </c>
      <c r="H403" s="19967" t="s">
        <v>22</v>
      </c>
      <c r="I403" s="19966" t="s">
        <v>1064</v>
      </c>
      <c r="J403" s="19967" t="s">
        <v>22</v>
      </c>
      <c r="K403" s="19966" t="s">
        <v>22</v>
      </c>
      <c r="L403" s="19967" t="s">
        <v>22</v>
      </c>
      <c r="M403" s="19966" t="s">
        <v>22</v>
      </c>
      <c r="N403" s="19967" t="s">
        <v>22</v>
      </c>
      <c r="O403" s="29958" t="s">
        <v>22</v>
      </c>
      <c r="P403" s="29959" t="s">
        <v>22</v>
      </c>
      <c r="Q403" s="19966" t="s">
        <v>22</v>
      </c>
      <c r="R403" s="19967" t="s">
        <v>22</v>
      </c>
      <c r="S403" s="19968"/>
      <c r="T403" s="19960"/>
      <c r="U403" s="19960"/>
      <c r="V403" s="19960"/>
      <c r="W403" s="19960"/>
      <c r="X403" s="19960"/>
      <c r="Y403" s="19960"/>
      <c r="Z403" s="19960"/>
      <c r="AA403" s="19960"/>
      <c r="AB403" s="19960"/>
      <c r="AC403" s="19969"/>
      <c r="AD403" s="19960">
        <v>0</v>
      </c>
    </row>
    <row s="36696" customFormat="1" customHeight="1" ht="15">
      <c r="A404" s="19960"/>
      <c r="B404" s="19961"/>
      <c r="C404" s="19962"/>
      <c r="D404" s="19963" t="str">
        <f>B403&amp;".2"</f>
        <v>3.123.2</v>
      </c>
      <c r="E404" s="19964" t="s">
        <v>964</v>
      </c>
      <c r="F404" s="19965" t="s">
        <v>324</v>
      </c>
      <c r="G404" s="19680" t="s">
        <v>22</v>
      </c>
      <c r="H404" s="19967" t="s">
        <v>22</v>
      </c>
      <c r="I404" s="19680">
        <v>45407</v>
      </c>
      <c r="J404" s="19967" t="s">
        <v>22</v>
      </c>
      <c r="K404" s="19680" t="s">
        <v>22</v>
      </c>
      <c r="L404" s="19967" t="s">
        <v>22</v>
      </c>
      <c r="M404" s="19680" t="s">
        <v>22</v>
      </c>
      <c r="N404" s="19967" t="s">
        <v>22</v>
      </c>
      <c r="O404" s="29663" t="s">
        <v>22</v>
      </c>
      <c r="P404" s="29959" t="s">
        <v>22</v>
      </c>
      <c r="Q404" s="19680" t="s">
        <v>22</v>
      </c>
      <c r="R404" s="19967" t="s">
        <v>22</v>
      </c>
      <c r="S404" s="19968" t="s">
        <v>965</v>
      </c>
      <c r="T404" s="19960"/>
      <c r="U404" s="19960"/>
      <c r="V404" s="19960"/>
      <c r="W404" s="19960"/>
      <c r="X404" s="19960"/>
      <c r="Y404" s="19960"/>
      <c r="Z404" s="19960"/>
      <c r="AA404" s="19960"/>
      <c r="AB404" s="19960"/>
      <c r="AC404" s="19969"/>
      <c r="AD404" s="19960">
        <v>0</v>
      </c>
    </row>
    <row s="36697" customFormat="1" customHeight="1" ht="15">
      <c r="A405" s="19960"/>
      <c r="B405" s="19961"/>
      <c r="C405" s="19962"/>
      <c r="D405" s="19963" t="str">
        <f>B403&amp;".3"</f>
        <v>3.123.3</v>
      </c>
      <c r="E405" s="19964" t="s">
        <v>966</v>
      </c>
      <c r="F405" s="19965" t="s">
        <v>324</v>
      </c>
      <c r="G405" s="19680" t="s">
        <v>22</v>
      </c>
      <c r="H405" s="19967" t="s">
        <v>22</v>
      </c>
      <c r="I405" s="19680" t="s">
        <v>22</v>
      </c>
      <c r="J405" s="19967" t="s">
        <v>22</v>
      </c>
      <c r="K405" s="19680" t="s">
        <v>22</v>
      </c>
      <c r="L405" s="19967" t="s">
        <v>22</v>
      </c>
      <c r="M405" s="19680" t="s">
        <v>22</v>
      </c>
      <c r="N405" s="19967" t="s">
        <v>22</v>
      </c>
      <c r="O405" s="29663" t="s">
        <v>22</v>
      </c>
      <c r="P405" s="29959" t="s">
        <v>22</v>
      </c>
      <c r="Q405" s="19680" t="s">
        <v>22</v>
      </c>
      <c r="R405" s="19967" t="s">
        <v>22</v>
      </c>
      <c r="S405" s="19968" t="s">
        <v>967</v>
      </c>
      <c r="T405" s="19960"/>
      <c r="U405" s="19960"/>
      <c r="V405" s="19960"/>
      <c r="W405" s="19960"/>
      <c r="X405" s="19960"/>
      <c r="Y405" s="19960"/>
      <c r="Z405" s="19960"/>
      <c r="AA405" s="19960"/>
      <c r="AB405" s="19960"/>
      <c r="AC405" s="19969"/>
      <c r="AD405" s="19960">
        <v>0</v>
      </c>
    </row>
    <row s="36698" customFormat="1" customHeight="1" ht="22.5">
      <c r="A406" s="19960"/>
      <c r="B406" s="19961" t="s">
        <v>1105</v>
      </c>
      <c r="C406" s="19962" t="s">
        <v>103</v>
      </c>
      <c r="D406" s="19963" t="str">
        <f>B406&amp;".1"</f>
        <v>3.124.1</v>
      </c>
      <c r="E406" s="19964" t="s">
        <v>963</v>
      </c>
      <c r="F406" s="19965" t="s">
        <v>324</v>
      </c>
      <c r="G406" s="19966" t="s">
        <v>22</v>
      </c>
      <c r="H406" s="19967" t="s">
        <v>22</v>
      </c>
      <c r="I406" s="19966" t="s">
        <v>1064</v>
      </c>
      <c r="J406" s="19967" t="s">
        <v>22</v>
      </c>
      <c r="K406" s="19966" t="s">
        <v>22</v>
      </c>
      <c r="L406" s="19967" t="s">
        <v>22</v>
      </c>
      <c r="M406" s="19966" t="s">
        <v>22</v>
      </c>
      <c r="N406" s="19967" t="s">
        <v>22</v>
      </c>
      <c r="O406" s="29958" t="s">
        <v>22</v>
      </c>
      <c r="P406" s="29959" t="s">
        <v>22</v>
      </c>
      <c r="Q406" s="19966" t="s">
        <v>22</v>
      </c>
      <c r="R406" s="19967" t="s">
        <v>22</v>
      </c>
      <c r="S406" s="19968"/>
      <c r="T406" s="19960"/>
      <c r="U406" s="19960"/>
      <c r="V406" s="19960"/>
      <c r="W406" s="19960"/>
      <c r="X406" s="19960"/>
      <c r="Y406" s="19960"/>
      <c r="Z406" s="19960"/>
      <c r="AA406" s="19960"/>
      <c r="AB406" s="19960"/>
      <c r="AC406" s="19969"/>
      <c r="AD406" s="19960">
        <v>0</v>
      </c>
    </row>
    <row s="36699" customFormat="1" customHeight="1" ht="15">
      <c r="A407" s="19960"/>
      <c r="B407" s="19961"/>
      <c r="C407" s="19962"/>
      <c r="D407" s="19963" t="str">
        <f>B406&amp;".2"</f>
        <v>3.124.2</v>
      </c>
      <c r="E407" s="19964" t="s">
        <v>964</v>
      </c>
      <c r="F407" s="19965" t="s">
        <v>324</v>
      </c>
      <c r="G407" s="19680" t="s">
        <v>22</v>
      </c>
      <c r="H407" s="19967" t="s">
        <v>22</v>
      </c>
      <c r="I407" s="19680">
        <v>45407</v>
      </c>
      <c r="J407" s="19967" t="s">
        <v>22</v>
      </c>
      <c r="K407" s="19680" t="s">
        <v>22</v>
      </c>
      <c r="L407" s="19967" t="s">
        <v>22</v>
      </c>
      <c r="M407" s="19680" t="s">
        <v>22</v>
      </c>
      <c r="N407" s="19967" t="s">
        <v>22</v>
      </c>
      <c r="O407" s="29663" t="s">
        <v>22</v>
      </c>
      <c r="P407" s="29959" t="s">
        <v>22</v>
      </c>
      <c r="Q407" s="19680" t="s">
        <v>22</v>
      </c>
      <c r="R407" s="19967" t="s">
        <v>22</v>
      </c>
      <c r="S407" s="19968" t="s">
        <v>965</v>
      </c>
      <c r="T407" s="19960"/>
      <c r="U407" s="19960"/>
      <c r="V407" s="19960"/>
      <c r="W407" s="19960"/>
      <c r="X407" s="19960"/>
      <c r="Y407" s="19960"/>
      <c r="Z407" s="19960"/>
      <c r="AA407" s="19960"/>
      <c r="AB407" s="19960"/>
      <c r="AC407" s="19969"/>
      <c r="AD407" s="19960">
        <v>0</v>
      </c>
    </row>
    <row s="36700" customFormat="1" customHeight="1" ht="15">
      <c r="A408" s="19960"/>
      <c r="B408" s="19961"/>
      <c r="C408" s="19962"/>
      <c r="D408" s="19963" t="str">
        <f>B406&amp;".3"</f>
        <v>3.124.3</v>
      </c>
      <c r="E408" s="19964" t="s">
        <v>966</v>
      </c>
      <c r="F408" s="19965" t="s">
        <v>324</v>
      </c>
      <c r="G408" s="19680" t="s">
        <v>22</v>
      </c>
      <c r="H408" s="19967" t="s">
        <v>22</v>
      </c>
      <c r="I408" s="19680" t="s">
        <v>22</v>
      </c>
      <c r="J408" s="19967" t="s">
        <v>22</v>
      </c>
      <c r="K408" s="19680" t="s">
        <v>22</v>
      </c>
      <c r="L408" s="19967" t="s">
        <v>22</v>
      </c>
      <c r="M408" s="19680" t="s">
        <v>22</v>
      </c>
      <c r="N408" s="19967" t="s">
        <v>22</v>
      </c>
      <c r="O408" s="29663" t="s">
        <v>22</v>
      </c>
      <c r="P408" s="29959" t="s">
        <v>22</v>
      </c>
      <c r="Q408" s="19680" t="s">
        <v>22</v>
      </c>
      <c r="R408" s="19967" t="s">
        <v>22</v>
      </c>
      <c r="S408" s="19968" t="s">
        <v>967</v>
      </c>
      <c r="T408" s="19960"/>
      <c r="U408" s="19960"/>
      <c r="V408" s="19960"/>
      <c r="W408" s="19960"/>
      <c r="X408" s="19960"/>
      <c r="Y408" s="19960"/>
      <c r="Z408" s="19960"/>
      <c r="AA408" s="19960"/>
      <c r="AB408" s="19960"/>
      <c r="AC408" s="19969"/>
      <c r="AD408" s="19960">
        <v>0</v>
      </c>
    </row>
    <row s="36701" customFormat="1" customHeight="1" ht="22.5">
      <c r="A409" s="19960"/>
      <c r="B409" s="19961" t="s">
        <v>1106</v>
      </c>
      <c r="C409" s="19962" t="s">
        <v>103</v>
      </c>
      <c r="D409" s="19963" t="str">
        <f>B409&amp;".1"</f>
        <v>3.125.1</v>
      </c>
      <c r="E409" s="19964" t="s">
        <v>963</v>
      </c>
      <c r="F409" s="19965" t="s">
        <v>324</v>
      </c>
      <c r="G409" s="19966" t="s">
        <v>22</v>
      </c>
      <c r="H409" s="19967" t="s">
        <v>22</v>
      </c>
      <c r="I409" s="19966" t="s">
        <v>1064</v>
      </c>
      <c r="J409" s="19967" t="s">
        <v>22</v>
      </c>
      <c r="K409" s="19966" t="s">
        <v>22</v>
      </c>
      <c r="L409" s="19967" t="s">
        <v>22</v>
      </c>
      <c r="M409" s="19966" t="s">
        <v>22</v>
      </c>
      <c r="N409" s="19967" t="s">
        <v>22</v>
      </c>
      <c r="O409" s="29958" t="s">
        <v>22</v>
      </c>
      <c r="P409" s="29959" t="s">
        <v>22</v>
      </c>
      <c r="Q409" s="19966" t="s">
        <v>22</v>
      </c>
      <c r="R409" s="19967" t="s">
        <v>22</v>
      </c>
      <c r="S409" s="19968"/>
      <c r="T409" s="19960"/>
      <c r="U409" s="19960"/>
      <c r="V409" s="19960"/>
      <c r="W409" s="19960"/>
      <c r="X409" s="19960"/>
      <c r="Y409" s="19960"/>
      <c r="Z409" s="19960"/>
      <c r="AA409" s="19960"/>
      <c r="AB409" s="19960"/>
      <c r="AC409" s="19969"/>
      <c r="AD409" s="19960">
        <v>0</v>
      </c>
    </row>
    <row s="36702" customFormat="1" customHeight="1" ht="15">
      <c r="A410" s="19960"/>
      <c r="B410" s="19961"/>
      <c r="C410" s="19962"/>
      <c r="D410" s="19963" t="str">
        <f>B409&amp;".2"</f>
        <v>3.125.2</v>
      </c>
      <c r="E410" s="19964" t="s">
        <v>964</v>
      </c>
      <c r="F410" s="19965" t="s">
        <v>324</v>
      </c>
      <c r="G410" s="19680" t="s">
        <v>22</v>
      </c>
      <c r="H410" s="19967" t="s">
        <v>22</v>
      </c>
      <c r="I410" s="19680">
        <v>45407</v>
      </c>
      <c r="J410" s="19967" t="s">
        <v>22</v>
      </c>
      <c r="K410" s="19680" t="s">
        <v>22</v>
      </c>
      <c r="L410" s="19967" t="s">
        <v>22</v>
      </c>
      <c r="M410" s="19680" t="s">
        <v>22</v>
      </c>
      <c r="N410" s="19967" t="s">
        <v>22</v>
      </c>
      <c r="O410" s="29663" t="s">
        <v>22</v>
      </c>
      <c r="P410" s="29959" t="s">
        <v>22</v>
      </c>
      <c r="Q410" s="19680" t="s">
        <v>22</v>
      </c>
      <c r="R410" s="19967" t="s">
        <v>22</v>
      </c>
      <c r="S410" s="19968" t="s">
        <v>965</v>
      </c>
      <c r="T410" s="19960"/>
      <c r="U410" s="19960"/>
      <c r="V410" s="19960"/>
      <c r="W410" s="19960"/>
      <c r="X410" s="19960"/>
      <c r="Y410" s="19960"/>
      <c r="Z410" s="19960"/>
      <c r="AA410" s="19960"/>
      <c r="AB410" s="19960"/>
      <c r="AC410" s="19969"/>
      <c r="AD410" s="19960">
        <v>0</v>
      </c>
    </row>
    <row s="36703" customFormat="1" customHeight="1" ht="15">
      <c r="A411" s="19960"/>
      <c r="B411" s="19961"/>
      <c r="C411" s="19962"/>
      <c r="D411" s="19963" t="str">
        <f>B409&amp;".3"</f>
        <v>3.125.3</v>
      </c>
      <c r="E411" s="19964" t="s">
        <v>966</v>
      </c>
      <c r="F411" s="19965" t="s">
        <v>324</v>
      </c>
      <c r="G411" s="19680" t="s">
        <v>22</v>
      </c>
      <c r="H411" s="19967" t="s">
        <v>22</v>
      </c>
      <c r="I411" s="19680" t="s">
        <v>22</v>
      </c>
      <c r="J411" s="19967" t="s">
        <v>22</v>
      </c>
      <c r="K411" s="19680" t="s">
        <v>22</v>
      </c>
      <c r="L411" s="19967" t="s">
        <v>22</v>
      </c>
      <c r="M411" s="19680" t="s">
        <v>22</v>
      </c>
      <c r="N411" s="19967" t="s">
        <v>22</v>
      </c>
      <c r="O411" s="29663" t="s">
        <v>22</v>
      </c>
      <c r="P411" s="29959" t="s">
        <v>22</v>
      </c>
      <c r="Q411" s="19680" t="s">
        <v>22</v>
      </c>
      <c r="R411" s="19967" t="s">
        <v>22</v>
      </c>
      <c r="S411" s="19968" t="s">
        <v>967</v>
      </c>
      <c r="T411" s="19960"/>
      <c r="U411" s="19960"/>
      <c r="V411" s="19960"/>
      <c r="W411" s="19960"/>
      <c r="X411" s="19960"/>
      <c r="Y411" s="19960"/>
      <c r="Z411" s="19960"/>
      <c r="AA411" s="19960"/>
      <c r="AB411" s="19960"/>
      <c r="AC411" s="19969"/>
      <c r="AD411" s="19960">
        <v>0</v>
      </c>
    </row>
    <row s="36704" customFormat="1" customHeight="1" ht="22.5">
      <c r="A412" s="19960"/>
      <c r="B412" s="19961" t="s">
        <v>1107</v>
      </c>
      <c r="C412" s="19962" t="s">
        <v>103</v>
      </c>
      <c r="D412" s="19963" t="str">
        <f>B412&amp;".1"</f>
        <v>3.126.1</v>
      </c>
      <c r="E412" s="19964" t="s">
        <v>963</v>
      </c>
      <c r="F412" s="19965" t="s">
        <v>324</v>
      </c>
      <c r="G412" s="19966" t="s">
        <v>22</v>
      </c>
      <c r="H412" s="19967" t="s">
        <v>22</v>
      </c>
      <c r="I412" s="19966" t="s">
        <v>1064</v>
      </c>
      <c r="J412" s="19967" t="s">
        <v>22</v>
      </c>
      <c r="K412" s="19966" t="s">
        <v>22</v>
      </c>
      <c r="L412" s="19967" t="s">
        <v>22</v>
      </c>
      <c r="M412" s="19966" t="s">
        <v>22</v>
      </c>
      <c r="N412" s="19967" t="s">
        <v>22</v>
      </c>
      <c r="O412" s="29958" t="s">
        <v>22</v>
      </c>
      <c r="P412" s="29959" t="s">
        <v>22</v>
      </c>
      <c r="Q412" s="19966" t="s">
        <v>22</v>
      </c>
      <c r="R412" s="19967" t="s">
        <v>22</v>
      </c>
      <c r="S412" s="19968"/>
      <c r="T412" s="19960"/>
      <c r="U412" s="19960"/>
      <c r="V412" s="19960"/>
      <c r="W412" s="19960"/>
      <c r="X412" s="19960"/>
      <c r="Y412" s="19960"/>
      <c r="Z412" s="19960"/>
      <c r="AA412" s="19960"/>
      <c r="AB412" s="19960"/>
      <c r="AC412" s="19969"/>
      <c r="AD412" s="19960">
        <v>0</v>
      </c>
    </row>
    <row s="36705" customFormat="1" customHeight="1" ht="15">
      <c r="A413" s="19960"/>
      <c r="B413" s="19961"/>
      <c r="C413" s="19962"/>
      <c r="D413" s="19963" t="str">
        <f>B412&amp;".2"</f>
        <v>3.126.2</v>
      </c>
      <c r="E413" s="19964" t="s">
        <v>964</v>
      </c>
      <c r="F413" s="19965" t="s">
        <v>324</v>
      </c>
      <c r="G413" s="19680" t="s">
        <v>22</v>
      </c>
      <c r="H413" s="19967" t="s">
        <v>22</v>
      </c>
      <c r="I413" s="19680">
        <v>45407</v>
      </c>
      <c r="J413" s="19967" t="s">
        <v>22</v>
      </c>
      <c r="K413" s="19680" t="s">
        <v>22</v>
      </c>
      <c r="L413" s="19967" t="s">
        <v>22</v>
      </c>
      <c r="M413" s="19680" t="s">
        <v>22</v>
      </c>
      <c r="N413" s="19967" t="s">
        <v>22</v>
      </c>
      <c r="O413" s="29663" t="s">
        <v>22</v>
      </c>
      <c r="P413" s="29959" t="s">
        <v>22</v>
      </c>
      <c r="Q413" s="19680" t="s">
        <v>22</v>
      </c>
      <c r="R413" s="19967" t="s">
        <v>22</v>
      </c>
      <c r="S413" s="19968" t="s">
        <v>965</v>
      </c>
      <c r="T413" s="19960"/>
      <c r="U413" s="19960"/>
      <c r="V413" s="19960"/>
      <c r="W413" s="19960"/>
      <c r="X413" s="19960"/>
      <c r="Y413" s="19960"/>
      <c r="Z413" s="19960"/>
      <c r="AA413" s="19960"/>
      <c r="AB413" s="19960"/>
      <c r="AC413" s="19969"/>
      <c r="AD413" s="19960">
        <v>0</v>
      </c>
    </row>
    <row s="36706" customFormat="1" customHeight="1" ht="15">
      <c r="A414" s="19960"/>
      <c r="B414" s="19961"/>
      <c r="C414" s="19962"/>
      <c r="D414" s="19963" t="str">
        <f>B412&amp;".3"</f>
        <v>3.126.3</v>
      </c>
      <c r="E414" s="19964" t="s">
        <v>966</v>
      </c>
      <c r="F414" s="19965" t="s">
        <v>324</v>
      </c>
      <c r="G414" s="19680" t="s">
        <v>22</v>
      </c>
      <c r="H414" s="19967" t="s">
        <v>22</v>
      </c>
      <c r="I414" s="19680" t="s">
        <v>22</v>
      </c>
      <c r="J414" s="19967" t="s">
        <v>22</v>
      </c>
      <c r="K414" s="19680" t="s">
        <v>22</v>
      </c>
      <c r="L414" s="19967" t="s">
        <v>22</v>
      </c>
      <c r="M414" s="19680" t="s">
        <v>22</v>
      </c>
      <c r="N414" s="19967" t="s">
        <v>22</v>
      </c>
      <c r="O414" s="29663" t="s">
        <v>22</v>
      </c>
      <c r="P414" s="29959" t="s">
        <v>22</v>
      </c>
      <c r="Q414" s="19680" t="s">
        <v>22</v>
      </c>
      <c r="R414" s="19967" t="s">
        <v>22</v>
      </c>
      <c r="S414" s="19968" t="s">
        <v>967</v>
      </c>
      <c r="T414" s="19960"/>
      <c r="U414" s="19960"/>
      <c r="V414" s="19960"/>
      <c r="W414" s="19960"/>
      <c r="X414" s="19960"/>
      <c r="Y414" s="19960"/>
      <c r="Z414" s="19960"/>
      <c r="AA414" s="19960"/>
      <c r="AB414" s="19960"/>
      <c r="AC414" s="19969"/>
      <c r="AD414" s="19960">
        <v>0</v>
      </c>
    </row>
    <row s="36707" customFormat="1" customHeight="1" ht="22.5">
      <c r="A415" s="19960"/>
      <c r="B415" s="19961" t="s">
        <v>1108</v>
      </c>
      <c r="C415" s="19962" t="s">
        <v>103</v>
      </c>
      <c r="D415" s="19963" t="str">
        <f>B415&amp;".1"</f>
        <v>3.127.1</v>
      </c>
      <c r="E415" s="19964" t="s">
        <v>963</v>
      </c>
      <c r="F415" s="19965" t="s">
        <v>324</v>
      </c>
      <c r="G415" s="19966" t="s">
        <v>22</v>
      </c>
      <c r="H415" s="19967" t="s">
        <v>22</v>
      </c>
      <c r="I415" s="19966" t="s">
        <v>1064</v>
      </c>
      <c r="J415" s="19967" t="s">
        <v>22</v>
      </c>
      <c r="K415" s="19966" t="s">
        <v>22</v>
      </c>
      <c r="L415" s="19967" t="s">
        <v>22</v>
      </c>
      <c r="M415" s="19966" t="s">
        <v>22</v>
      </c>
      <c r="N415" s="19967" t="s">
        <v>22</v>
      </c>
      <c r="O415" s="29958" t="s">
        <v>22</v>
      </c>
      <c r="P415" s="29959" t="s">
        <v>22</v>
      </c>
      <c r="Q415" s="19966" t="s">
        <v>22</v>
      </c>
      <c r="R415" s="19967" t="s">
        <v>22</v>
      </c>
      <c r="S415" s="19968"/>
      <c r="T415" s="19960"/>
      <c r="U415" s="19960"/>
      <c r="V415" s="19960"/>
      <c r="W415" s="19960"/>
      <c r="X415" s="19960"/>
      <c r="Y415" s="19960"/>
      <c r="Z415" s="19960"/>
      <c r="AA415" s="19960"/>
      <c r="AB415" s="19960"/>
      <c r="AC415" s="19969"/>
      <c r="AD415" s="19960">
        <v>0</v>
      </c>
    </row>
    <row s="36708" customFormat="1" customHeight="1" ht="15">
      <c r="A416" s="19960"/>
      <c r="B416" s="19961"/>
      <c r="C416" s="19962"/>
      <c r="D416" s="19963" t="str">
        <f>B415&amp;".2"</f>
        <v>3.127.2</v>
      </c>
      <c r="E416" s="19964" t="s">
        <v>964</v>
      </c>
      <c r="F416" s="19965" t="s">
        <v>324</v>
      </c>
      <c r="G416" s="19680" t="s">
        <v>22</v>
      </c>
      <c r="H416" s="19967" t="s">
        <v>22</v>
      </c>
      <c r="I416" s="19680">
        <v>45407</v>
      </c>
      <c r="J416" s="19967" t="s">
        <v>22</v>
      </c>
      <c r="K416" s="19680" t="s">
        <v>22</v>
      </c>
      <c r="L416" s="19967" t="s">
        <v>22</v>
      </c>
      <c r="M416" s="19680" t="s">
        <v>22</v>
      </c>
      <c r="N416" s="19967" t="s">
        <v>22</v>
      </c>
      <c r="O416" s="29663" t="s">
        <v>22</v>
      </c>
      <c r="P416" s="29959" t="s">
        <v>22</v>
      </c>
      <c r="Q416" s="19680" t="s">
        <v>22</v>
      </c>
      <c r="R416" s="19967" t="s">
        <v>22</v>
      </c>
      <c r="S416" s="19968" t="s">
        <v>965</v>
      </c>
      <c r="T416" s="19960"/>
      <c r="U416" s="19960"/>
      <c r="V416" s="19960"/>
      <c r="W416" s="19960"/>
      <c r="X416" s="19960"/>
      <c r="Y416" s="19960"/>
      <c r="Z416" s="19960"/>
      <c r="AA416" s="19960"/>
      <c r="AB416" s="19960"/>
      <c r="AC416" s="19969"/>
      <c r="AD416" s="19960">
        <v>0</v>
      </c>
    </row>
    <row s="36709" customFormat="1" customHeight="1" ht="15">
      <c r="A417" s="19960"/>
      <c r="B417" s="19961"/>
      <c r="C417" s="19962"/>
      <c r="D417" s="19963" t="str">
        <f>B415&amp;".3"</f>
        <v>3.127.3</v>
      </c>
      <c r="E417" s="19964" t="s">
        <v>966</v>
      </c>
      <c r="F417" s="19965" t="s">
        <v>324</v>
      </c>
      <c r="G417" s="19680" t="s">
        <v>22</v>
      </c>
      <c r="H417" s="19967" t="s">
        <v>22</v>
      </c>
      <c r="I417" s="19680" t="s">
        <v>22</v>
      </c>
      <c r="J417" s="19967" t="s">
        <v>22</v>
      </c>
      <c r="K417" s="19680" t="s">
        <v>22</v>
      </c>
      <c r="L417" s="19967" t="s">
        <v>22</v>
      </c>
      <c r="M417" s="19680" t="s">
        <v>22</v>
      </c>
      <c r="N417" s="19967" t="s">
        <v>22</v>
      </c>
      <c r="O417" s="29663" t="s">
        <v>22</v>
      </c>
      <c r="P417" s="29959" t="s">
        <v>22</v>
      </c>
      <c r="Q417" s="19680" t="s">
        <v>22</v>
      </c>
      <c r="R417" s="19967" t="s">
        <v>22</v>
      </c>
      <c r="S417" s="19968" t="s">
        <v>967</v>
      </c>
      <c r="T417" s="19960"/>
      <c r="U417" s="19960"/>
      <c r="V417" s="19960"/>
      <c r="W417" s="19960"/>
      <c r="X417" s="19960"/>
      <c r="Y417" s="19960"/>
      <c r="Z417" s="19960"/>
      <c r="AA417" s="19960"/>
      <c r="AB417" s="19960"/>
      <c r="AC417" s="19969"/>
      <c r="AD417" s="19960">
        <v>0</v>
      </c>
    </row>
    <row s="36710" customFormat="1" customHeight="1" ht="22.5">
      <c r="A418" s="19960"/>
      <c r="B418" s="19961" t="s">
        <v>1109</v>
      </c>
      <c r="C418" s="19962" t="s">
        <v>103</v>
      </c>
      <c r="D418" s="19963" t="str">
        <f>B418&amp;".1"</f>
        <v>3.128.1</v>
      </c>
      <c r="E418" s="19964" t="s">
        <v>963</v>
      </c>
      <c r="F418" s="19965" t="s">
        <v>324</v>
      </c>
      <c r="G418" s="19966" t="s">
        <v>22</v>
      </c>
      <c r="H418" s="19967" t="s">
        <v>22</v>
      </c>
      <c r="I418" s="19966" t="s">
        <v>1064</v>
      </c>
      <c r="J418" s="19967" t="s">
        <v>22</v>
      </c>
      <c r="K418" s="19966" t="s">
        <v>22</v>
      </c>
      <c r="L418" s="19967" t="s">
        <v>22</v>
      </c>
      <c r="M418" s="19966" t="s">
        <v>22</v>
      </c>
      <c r="N418" s="19967" t="s">
        <v>22</v>
      </c>
      <c r="O418" s="29958" t="s">
        <v>22</v>
      </c>
      <c r="P418" s="29959" t="s">
        <v>22</v>
      </c>
      <c r="Q418" s="19966" t="s">
        <v>22</v>
      </c>
      <c r="R418" s="19967" t="s">
        <v>22</v>
      </c>
      <c r="S418" s="19968"/>
      <c r="T418" s="19960"/>
      <c r="U418" s="19960"/>
      <c r="V418" s="19960"/>
      <c r="W418" s="19960"/>
      <c r="X418" s="19960"/>
      <c r="Y418" s="19960"/>
      <c r="Z418" s="19960"/>
      <c r="AA418" s="19960"/>
      <c r="AB418" s="19960"/>
      <c r="AC418" s="19969"/>
      <c r="AD418" s="19960">
        <v>0</v>
      </c>
    </row>
    <row s="36711" customFormat="1" customHeight="1" ht="15">
      <c r="A419" s="19960"/>
      <c r="B419" s="19961"/>
      <c r="C419" s="19962"/>
      <c r="D419" s="19963" t="str">
        <f>B418&amp;".2"</f>
        <v>3.128.2</v>
      </c>
      <c r="E419" s="19964" t="s">
        <v>964</v>
      </c>
      <c r="F419" s="19965" t="s">
        <v>324</v>
      </c>
      <c r="G419" s="19680" t="s">
        <v>22</v>
      </c>
      <c r="H419" s="19967" t="s">
        <v>22</v>
      </c>
      <c r="I419" s="19680">
        <v>45407</v>
      </c>
      <c r="J419" s="19967" t="s">
        <v>22</v>
      </c>
      <c r="K419" s="19680" t="s">
        <v>22</v>
      </c>
      <c r="L419" s="19967" t="s">
        <v>22</v>
      </c>
      <c r="M419" s="19680" t="s">
        <v>22</v>
      </c>
      <c r="N419" s="19967" t="s">
        <v>22</v>
      </c>
      <c r="O419" s="29663" t="s">
        <v>22</v>
      </c>
      <c r="P419" s="29959" t="s">
        <v>22</v>
      </c>
      <c r="Q419" s="19680" t="s">
        <v>22</v>
      </c>
      <c r="R419" s="19967" t="s">
        <v>22</v>
      </c>
      <c r="S419" s="19968" t="s">
        <v>965</v>
      </c>
      <c r="T419" s="19960"/>
      <c r="U419" s="19960"/>
      <c r="V419" s="19960"/>
      <c r="W419" s="19960"/>
      <c r="X419" s="19960"/>
      <c r="Y419" s="19960"/>
      <c r="Z419" s="19960"/>
      <c r="AA419" s="19960"/>
      <c r="AB419" s="19960"/>
      <c r="AC419" s="19969"/>
      <c r="AD419" s="19960">
        <v>0</v>
      </c>
    </row>
    <row s="36712" customFormat="1" customHeight="1" ht="15">
      <c r="A420" s="19960"/>
      <c r="B420" s="19961"/>
      <c r="C420" s="19962"/>
      <c r="D420" s="19963" t="str">
        <f>B418&amp;".3"</f>
        <v>3.128.3</v>
      </c>
      <c r="E420" s="19964" t="s">
        <v>966</v>
      </c>
      <c r="F420" s="19965" t="s">
        <v>324</v>
      </c>
      <c r="G420" s="19680" t="s">
        <v>22</v>
      </c>
      <c r="H420" s="19967" t="s">
        <v>22</v>
      </c>
      <c r="I420" s="19680" t="s">
        <v>22</v>
      </c>
      <c r="J420" s="19967" t="s">
        <v>22</v>
      </c>
      <c r="K420" s="19680" t="s">
        <v>22</v>
      </c>
      <c r="L420" s="19967" t="s">
        <v>22</v>
      </c>
      <c r="M420" s="19680" t="s">
        <v>22</v>
      </c>
      <c r="N420" s="19967" t="s">
        <v>22</v>
      </c>
      <c r="O420" s="29663" t="s">
        <v>22</v>
      </c>
      <c r="P420" s="29959" t="s">
        <v>22</v>
      </c>
      <c r="Q420" s="19680" t="s">
        <v>22</v>
      </c>
      <c r="R420" s="19967" t="s">
        <v>22</v>
      </c>
      <c r="S420" s="19968" t="s">
        <v>967</v>
      </c>
      <c r="T420" s="19960"/>
      <c r="U420" s="19960"/>
      <c r="V420" s="19960"/>
      <c r="W420" s="19960"/>
      <c r="X420" s="19960"/>
      <c r="Y420" s="19960"/>
      <c r="Z420" s="19960"/>
      <c r="AA420" s="19960"/>
      <c r="AB420" s="19960"/>
      <c r="AC420" s="19969"/>
      <c r="AD420" s="19960">
        <v>0</v>
      </c>
    </row>
    <row s="36713" customFormat="1" customHeight="1" ht="22.5">
      <c r="A421" s="19960"/>
      <c r="B421" s="19961" t="s">
        <v>1110</v>
      </c>
      <c r="C421" s="19962" t="s">
        <v>103</v>
      </c>
      <c r="D421" s="19963" t="str">
        <f>B421&amp;".1"</f>
        <v>3.129.1</v>
      </c>
      <c r="E421" s="19964" t="s">
        <v>963</v>
      </c>
      <c r="F421" s="19965" t="s">
        <v>324</v>
      </c>
      <c r="G421" s="19966" t="s">
        <v>22</v>
      </c>
      <c r="H421" s="19967" t="s">
        <v>22</v>
      </c>
      <c r="I421" s="19966" t="s">
        <v>1064</v>
      </c>
      <c r="J421" s="19967" t="s">
        <v>22</v>
      </c>
      <c r="K421" s="19966" t="s">
        <v>22</v>
      </c>
      <c r="L421" s="19967" t="s">
        <v>22</v>
      </c>
      <c r="M421" s="19966" t="s">
        <v>22</v>
      </c>
      <c r="N421" s="19967" t="s">
        <v>22</v>
      </c>
      <c r="O421" s="29958" t="s">
        <v>22</v>
      </c>
      <c r="P421" s="29959" t="s">
        <v>22</v>
      </c>
      <c r="Q421" s="19966" t="s">
        <v>22</v>
      </c>
      <c r="R421" s="19967" t="s">
        <v>22</v>
      </c>
      <c r="S421" s="19968"/>
      <c r="T421" s="19960"/>
      <c r="U421" s="19960"/>
      <c r="V421" s="19960"/>
      <c r="W421" s="19960"/>
      <c r="X421" s="19960"/>
      <c r="Y421" s="19960"/>
      <c r="Z421" s="19960"/>
      <c r="AA421" s="19960"/>
      <c r="AB421" s="19960"/>
      <c r="AC421" s="19969"/>
      <c r="AD421" s="19960">
        <v>0</v>
      </c>
    </row>
    <row s="36714" customFormat="1" customHeight="1" ht="15">
      <c r="A422" s="19960"/>
      <c r="B422" s="19961"/>
      <c r="C422" s="19962"/>
      <c r="D422" s="19963" t="str">
        <f>B421&amp;".2"</f>
        <v>3.129.2</v>
      </c>
      <c r="E422" s="19964" t="s">
        <v>964</v>
      </c>
      <c r="F422" s="19965" t="s">
        <v>324</v>
      </c>
      <c r="G422" s="19680" t="s">
        <v>22</v>
      </c>
      <c r="H422" s="19967" t="s">
        <v>22</v>
      </c>
      <c r="I422" s="19680">
        <v>45407</v>
      </c>
      <c r="J422" s="19967" t="s">
        <v>22</v>
      </c>
      <c r="K422" s="19680" t="s">
        <v>22</v>
      </c>
      <c r="L422" s="19967" t="s">
        <v>22</v>
      </c>
      <c r="M422" s="19680" t="s">
        <v>22</v>
      </c>
      <c r="N422" s="19967" t="s">
        <v>22</v>
      </c>
      <c r="O422" s="29663" t="s">
        <v>22</v>
      </c>
      <c r="P422" s="29959" t="s">
        <v>22</v>
      </c>
      <c r="Q422" s="19680" t="s">
        <v>22</v>
      </c>
      <c r="R422" s="19967" t="s">
        <v>22</v>
      </c>
      <c r="S422" s="19968" t="s">
        <v>965</v>
      </c>
      <c r="T422" s="19960"/>
      <c r="U422" s="19960"/>
      <c r="V422" s="19960"/>
      <c r="W422" s="19960"/>
      <c r="X422" s="19960"/>
      <c r="Y422" s="19960"/>
      <c r="Z422" s="19960"/>
      <c r="AA422" s="19960"/>
      <c r="AB422" s="19960"/>
      <c r="AC422" s="19969"/>
      <c r="AD422" s="19960">
        <v>0</v>
      </c>
    </row>
    <row s="36715" customFormat="1" customHeight="1" ht="15">
      <c r="A423" s="19960"/>
      <c r="B423" s="19961"/>
      <c r="C423" s="19962"/>
      <c r="D423" s="19963" t="str">
        <f>B421&amp;".3"</f>
        <v>3.129.3</v>
      </c>
      <c r="E423" s="19964" t="s">
        <v>966</v>
      </c>
      <c r="F423" s="19965" t="s">
        <v>324</v>
      </c>
      <c r="G423" s="19680" t="s">
        <v>22</v>
      </c>
      <c r="H423" s="19967" t="s">
        <v>22</v>
      </c>
      <c r="I423" s="19680" t="s">
        <v>22</v>
      </c>
      <c r="J423" s="19967" t="s">
        <v>22</v>
      </c>
      <c r="K423" s="19680" t="s">
        <v>22</v>
      </c>
      <c r="L423" s="19967" t="s">
        <v>22</v>
      </c>
      <c r="M423" s="19680" t="s">
        <v>22</v>
      </c>
      <c r="N423" s="19967" t="s">
        <v>22</v>
      </c>
      <c r="O423" s="29663" t="s">
        <v>22</v>
      </c>
      <c r="P423" s="29959" t="s">
        <v>22</v>
      </c>
      <c r="Q423" s="19680" t="s">
        <v>22</v>
      </c>
      <c r="R423" s="19967" t="s">
        <v>22</v>
      </c>
      <c r="S423" s="19968" t="s">
        <v>967</v>
      </c>
      <c r="T423" s="19960"/>
      <c r="U423" s="19960"/>
      <c r="V423" s="19960"/>
      <c r="W423" s="19960"/>
      <c r="X423" s="19960"/>
      <c r="Y423" s="19960"/>
      <c r="Z423" s="19960"/>
      <c r="AA423" s="19960"/>
      <c r="AB423" s="19960"/>
      <c r="AC423" s="19969"/>
      <c r="AD423" s="19960">
        <v>0</v>
      </c>
    </row>
    <row s="36716" customFormat="1" customHeight="1" ht="22.5">
      <c r="A424" s="19960"/>
      <c r="B424" s="19961" t="s">
        <v>1111</v>
      </c>
      <c r="C424" s="19962" t="s">
        <v>103</v>
      </c>
      <c r="D424" s="19963" t="str">
        <f>B424&amp;".1"</f>
        <v>3.130.1</v>
      </c>
      <c r="E424" s="19964" t="s">
        <v>963</v>
      </c>
      <c r="F424" s="19965" t="s">
        <v>324</v>
      </c>
      <c r="G424" s="19966" t="s">
        <v>22</v>
      </c>
      <c r="H424" s="19967" t="s">
        <v>22</v>
      </c>
      <c r="I424" s="19966" t="s">
        <v>1064</v>
      </c>
      <c r="J424" s="19967" t="s">
        <v>22</v>
      </c>
      <c r="K424" s="19966" t="s">
        <v>22</v>
      </c>
      <c r="L424" s="19967" t="s">
        <v>22</v>
      </c>
      <c r="M424" s="19966" t="s">
        <v>22</v>
      </c>
      <c r="N424" s="19967" t="s">
        <v>22</v>
      </c>
      <c r="O424" s="29958" t="s">
        <v>22</v>
      </c>
      <c r="P424" s="29959" t="s">
        <v>22</v>
      </c>
      <c r="Q424" s="19966" t="s">
        <v>22</v>
      </c>
      <c r="R424" s="19967" t="s">
        <v>22</v>
      </c>
      <c r="S424" s="19968"/>
      <c r="T424" s="19960"/>
      <c r="U424" s="19960"/>
      <c r="V424" s="19960"/>
      <c r="W424" s="19960"/>
      <c r="X424" s="19960"/>
      <c r="Y424" s="19960"/>
      <c r="Z424" s="19960"/>
      <c r="AA424" s="19960"/>
      <c r="AB424" s="19960"/>
      <c r="AC424" s="19969"/>
      <c r="AD424" s="19960">
        <v>0</v>
      </c>
    </row>
    <row s="36717" customFormat="1" customHeight="1" ht="15">
      <c r="A425" s="19960"/>
      <c r="B425" s="19961"/>
      <c r="C425" s="19962"/>
      <c r="D425" s="19963" t="str">
        <f>B424&amp;".2"</f>
        <v>3.130.2</v>
      </c>
      <c r="E425" s="19964" t="s">
        <v>964</v>
      </c>
      <c r="F425" s="19965" t="s">
        <v>324</v>
      </c>
      <c r="G425" s="19680" t="s">
        <v>22</v>
      </c>
      <c r="H425" s="19967" t="s">
        <v>22</v>
      </c>
      <c r="I425" s="19680">
        <v>45407</v>
      </c>
      <c r="J425" s="19967" t="s">
        <v>22</v>
      </c>
      <c r="K425" s="19680" t="s">
        <v>22</v>
      </c>
      <c r="L425" s="19967" t="s">
        <v>22</v>
      </c>
      <c r="M425" s="19680" t="s">
        <v>22</v>
      </c>
      <c r="N425" s="19967" t="s">
        <v>22</v>
      </c>
      <c r="O425" s="29663" t="s">
        <v>22</v>
      </c>
      <c r="P425" s="29959" t="s">
        <v>22</v>
      </c>
      <c r="Q425" s="19680" t="s">
        <v>22</v>
      </c>
      <c r="R425" s="19967" t="s">
        <v>22</v>
      </c>
      <c r="S425" s="19968" t="s">
        <v>965</v>
      </c>
      <c r="T425" s="19960"/>
      <c r="U425" s="19960"/>
      <c r="V425" s="19960"/>
      <c r="W425" s="19960"/>
      <c r="X425" s="19960"/>
      <c r="Y425" s="19960"/>
      <c r="Z425" s="19960"/>
      <c r="AA425" s="19960"/>
      <c r="AB425" s="19960"/>
      <c r="AC425" s="19969"/>
      <c r="AD425" s="19960">
        <v>0</v>
      </c>
    </row>
    <row s="36718" customFormat="1" customHeight="1" ht="15">
      <c r="A426" s="19960"/>
      <c r="B426" s="19961"/>
      <c r="C426" s="19962"/>
      <c r="D426" s="19963" t="str">
        <f>B424&amp;".3"</f>
        <v>3.130.3</v>
      </c>
      <c r="E426" s="19964" t="s">
        <v>966</v>
      </c>
      <c r="F426" s="19965" t="s">
        <v>324</v>
      </c>
      <c r="G426" s="19680" t="s">
        <v>22</v>
      </c>
      <c r="H426" s="19967" t="s">
        <v>22</v>
      </c>
      <c r="I426" s="19680" t="s">
        <v>22</v>
      </c>
      <c r="J426" s="19967" t="s">
        <v>22</v>
      </c>
      <c r="K426" s="19680" t="s">
        <v>22</v>
      </c>
      <c r="L426" s="19967" t="s">
        <v>22</v>
      </c>
      <c r="M426" s="19680" t="s">
        <v>22</v>
      </c>
      <c r="N426" s="19967" t="s">
        <v>22</v>
      </c>
      <c r="O426" s="29663" t="s">
        <v>22</v>
      </c>
      <c r="P426" s="29959" t="s">
        <v>22</v>
      </c>
      <c r="Q426" s="19680" t="s">
        <v>22</v>
      </c>
      <c r="R426" s="19967" t="s">
        <v>22</v>
      </c>
      <c r="S426" s="19968" t="s">
        <v>967</v>
      </c>
      <c r="T426" s="19960"/>
      <c r="U426" s="19960"/>
      <c r="V426" s="19960"/>
      <c r="W426" s="19960"/>
      <c r="X426" s="19960"/>
      <c r="Y426" s="19960"/>
      <c r="Z426" s="19960"/>
      <c r="AA426" s="19960"/>
      <c r="AB426" s="19960"/>
      <c r="AC426" s="19969"/>
      <c r="AD426" s="19960">
        <v>0</v>
      </c>
    </row>
    <row s="36719" customFormat="1" customHeight="1" ht="22.5">
      <c r="A427" s="19960"/>
      <c r="B427" s="19961" t="s">
        <v>1112</v>
      </c>
      <c r="C427" s="19962" t="s">
        <v>103</v>
      </c>
      <c r="D427" s="19963" t="str">
        <f>B427&amp;".1"</f>
        <v>3.131.1</v>
      </c>
      <c r="E427" s="19964" t="s">
        <v>963</v>
      </c>
      <c r="F427" s="19965" t="s">
        <v>324</v>
      </c>
      <c r="G427" s="19966" t="s">
        <v>22</v>
      </c>
      <c r="H427" s="19967" t="s">
        <v>22</v>
      </c>
      <c r="I427" s="19966" t="s">
        <v>1064</v>
      </c>
      <c r="J427" s="19967" t="s">
        <v>22</v>
      </c>
      <c r="K427" s="19966" t="s">
        <v>22</v>
      </c>
      <c r="L427" s="19967" t="s">
        <v>22</v>
      </c>
      <c r="M427" s="19966" t="s">
        <v>22</v>
      </c>
      <c r="N427" s="19967" t="s">
        <v>22</v>
      </c>
      <c r="O427" s="29958" t="s">
        <v>22</v>
      </c>
      <c r="P427" s="29959" t="s">
        <v>22</v>
      </c>
      <c r="Q427" s="19966" t="s">
        <v>22</v>
      </c>
      <c r="R427" s="19967" t="s">
        <v>22</v>
      </c>
      <c r="S427" s="19968"/>
      <c r="T427" s="19960"/>
      <c r="U427" s="19960"/>
      <c r="V427" s="19960"/>
      <c r="W427" s="19960"/>
      <c r="X427" s="19960"/>
      <c r="Y427" s="19960"/>
      <c r="Z427" s="19960"/>
      <c r="AA427" s="19960"/>
      <c r="AB427" s="19960"/>
      <c r="AC427" s="19969"/>
      <c r="AD427" s="19960">
        <v>0</v>
      </c>
    </row>
    <row s="36720" customFormat="1" customHeight="1" ht="15">
      <c r="A428" s="19960"/>
      <c r="B428" s="19961"/>
      <c r="C428" s="19962"/>
      <c r="D428" s="19963" t="str">
        <f>B427&amp;".2"</f>
        <v>3.131.2</v>
      </c>
      <c r="E428" s="19964" t="s">
        <v>964</v>
      </c>
      <c r="F428" s="19965" t="s">
        <v>324</v>
      </c>
      <c r="G428" s="19680" t="s">
        <v>22</v>
      </c>
      <c r="H428" s="19967" t="s">
        <v>22</v>
      </c>
      <c r="I428" s="19680">
        <v>45407</v>
      </c>
      <c r="J428" s="19967" t="s">
        <v>22</v>
      </c>
      <c r="K428" s="19680" t="s">
        <v>22</v>
      </c>
      <c r="L428" s="19967" t="s">
        <v>22</v>
      </c>
      <c r="M428" s="19680" t="s">
        <v>22</v>
      </c>
      <c r="N428" s="19967" t="s">
        <v>22</v>
      </c>
      <c r="O428" s="29663" t="s">
        <v>22</v>
      </c>
      <c r="P428" s="29959" t="s">
        <v>22</v>
      </c>
      <c r="Q428" s="19680" t="s">
        <v>22</v>
      </c>
      <c r="R428" s="19967" t="s">
        <v>22</v>
      </c>
      <c r="S428" s="19968" t="s">
        <v>965</v>
      </c>
      <c r="T428" s="19960"/>
      <c r="U428" s="19960"/>
      <c r="V428" s="19960"/>
      <c r="W428" s="19960"/>
      <c r="X428" s="19960"/>
      <c r="Y428" s="19960"/>
      <c r="Z428" s="19960"/>
      <c r="AA428" s="19960"/>
      <c r="AB428" s="19960"/>
      <c r="AC428" s="19969"/>
      <c r="AD428" s="19960">
        <v>0</v>
      </c>
    </row>
    <row s="36721" customFormat="1" customHeight="1" ht="15">
      <c r="A429" s="19960"/>
      <c r="B429" s="19961"/>
      <c r="C429" s="19962"/>
      <c r="D429" s="19963" t="str">
        <f>B427&amp;".3"</f>
        <v>3.131.3</v>
      </c>
      <c r="E429" s="19964" t="s">
        <v>966</v>
      </c>
      <c r="F429" s="19965" t="s">
        <v>324</v>
      </c>
      <c r="G429" s="19680" t="s">
        <v>22</v>
      </c>
      <c r="H429" s="19967" t="s">
        <v>22</v>
      </c>
      <c r="I429" s="19680" t="s">
        <v>22</v>
      </c>
      <c r="J429" s="19967" t="s">
        <v>22</v>
      </c>
      <c r="K429" s="19680" t="s">
        <v>22</v>
      </c>
      <c r="L429" s="19967" t="s">
        <v>22</v>
      </c>
      <c r="M429" s="19680" t="s">
        <v>22</v>
      </c>
      <c r="N429" s="19967" t="s">
        <v>22</v>
      </c>
      <c r="O429" s="29663" t="s">
        <v>22</v>
      </c>
      <c r="P429" s="29959" t="s">
        <v>22</v>
      </c>
      <c r="Q429" s="19680" t="s">
        <v>22</v>
      </c>
      <c r="R429" s="19967" t="s">
        <v>22</v>
      </c>
      <c r="S429" s="19968" t="s">
        <v>967</v>
      </c>
      <c r="T429" s="19960"/>
      <c r="U429" s="19960"/>
      <c r="V429" s="19960"/>
      <c r="W429" s="19960"/>
      <c r="X429" s="19960"/>
      <c r="Y429" s="19960"/>
      <c r="Z429" s="19960"/>
      <c r="AA429" s="19960"/>
      <c r="AB429" s="19960"/>
      <c r="AC429" s="19969"/>
      <c r="AD429" s="19960">
        <v>0</v>
      </c>
    </row>
    <row s="36722" customFormat="1" customHeight="1" ht="22.5">
      <c r="A430" s="19960"/>
      <c r="B430" s="19961" t="s">
        <v>1113</v>
      </c>
      <c r="C430" s="19962" t="s">
        <v>103</v>
      </c>
      <c r="D430" s="19963" t="str">
        <f>B430&amp;".1"</f>
        <v>3.132.1</v>
      </c>
      <c r="E430" s="19964" t="s">
        <v>963</v>
      </c>
      <c r="F430" s="19965" t="s">
        <v>324</v>
      </c>
      <c r="G430" s="19966" t="s">
        <v>22</v>
      </c>
      <c r="H430" s="19967" t="s">
        <v>22</v>
      </c>
      <c r="I430" s="19966" t="s">
        <v>1064</v>
      </c>
      <c r="J430" s="19967" t="s">
        <v>22</v>
      </c>
      <c r="K430" s="19966" t="s">
        <v>22</v>
      </c>
      <c r="L430" s="19967" t="s">
        <v>22</v>
      </c>
      <c r="M430" s="19966" t="s">
        <v>22</v>
      </c>
      <c r="N430" s="19967" t="s">
        <v>22</v>
      </c>
      <c r="O430" s="29958" t="s">
        <v>22</v>
      </c>
      <c r="P430" s="29959" t="s">
        <v>22</v>
      </c>
      <c r="Q430" s="19966" t="s">
        <v>22</v>
      </c>
      <c r="R430" s="19967" t="s">
        <v>22</v>
      </c>
      <c r="S430" s="19968"/>
      <c r="T430" s="19960"/>
      <c r="U430" s="19960"/>
      <c r="V430" s="19960"/>
      <c r="W430" s="19960"/>
      <c r="X430" s="19960"/>
      <c r="Y430" s="19960"/>
      <c r="Z430" s="19960"/>
      <c r="AA430" s="19960"/>
      <c r="AB430" s="19960"/>
      <c r="AC430" s="19969"/>
      <c r="AD430" s="19960">
        <v>0</v>
      </c>
    </row>
    <row s="36723" customFormat="1" customHeight="1" ht="15">
      <c r="A431" s="19960"/>
      <c r="B431" s="19961"/>
      <c r="C431" s="19962"/>
      <c r="D431" s="19963" t="str">
        <f>B430&amp;".2"</f>
        <v>3.132.2</v>
      </c>
      <c r="E431" s="19964" t="s">
        <v>964</v>
      </c>
      <c r="F431" s="19965" t="s">
        <v>324</v>
      </c>
      <c r="G431" s="19680" t="s">
        <v>22</v>
      </c>
      <c r="H431" s="19967" t="s">
        <v>22</v>
      </c>
      <c r="I431" s="19680">
        <v>45407</v>
      </c>
      <c r="J431" s="19967" t="s">
        <v>22</v>
      </c>
      <c r="K431" s="19680" t="s">
        <v>22</v>
      </c>
      <c r="L431" s="19967" t="s">
        <v>22</v>
      </c>
      <c r="M431" s="19680" t="s">
        <v>22</v>
      </c>
      <c r="N431" s="19967" t="s">
        <v>22</v>
      </c>
      <c r="O431" s="29663" t="s">
        <v>22</v>
      </c>
      <c r="P431" s="29959" t="s">
        <v>22</v>
      </c>
      <c r="Q431" s="19680" t="s">
        <v>22</v>
      </c>
      <c r="R431" s="19967" t="s">
        <v>22</v>
      </c>
      <c r="S431" s="19968" t="s">
        <v>965</v>
      </c>
      <c r="T431" s="19960"/>
      <c r="U431" s="19960"/>
      <c r="V431" s="19960"/>
      <c r="W431" s="19960"/>
      <c r="X431" s="19960"/>
      <c r="Y431" s="19960"/>
      <c r="Z431" s="19960"/>
      <c r="AA431" s="19960"/>
      <c r="AB431" s="19960"/>
      <c r="AC431" s="19969"/>
      <c r="AD431" s="19960">
        <v>0</v>
      </c>
    </row>
    <row s="36724" customFormat="1" customHeight="1" ht="15">
      <c r="A432" s="19960"/>
      <c r="B432" s="19961"/>
      <c r="C432" s="19962"/>
      <c r="D432" s="19963" t="str">
        <f>B430&amp;".3"</f>
        <v>3.132.3</v>
      </c>
      <c r="E432" s="19964" t="s">
        <v>966</v>
      </c>
      <c r="F432" s="19965" t="s">
        <v>324</v>
      </c>
      <c r="G432" s="19680" t="s">
        <v>22</v>
      </c>
      <c r="H432" s="19967" t="s">
        <v>22</v>
      </c>
      <c r="I432" s="19680" t="s">
        <v>22</v>
      </c>
      <c r="J432" s="19967" t="s">
        <v>22</v>
      </c>
      <c r="K432" s="19680" t="s">
        <v>22</v>
      </c>
      <c r="L432" s="19967" t="s">
        <v>22</v>
      </c>
      <c r="M432" s="19680" t="s">
        <v>22</v>
      </c>
      <c r="N432" s="19967" t="s">
        <v>22</v>
      </c>
      <c r="O432" s="29663" t="s">
        <v>22</v>
      </c>
      <c r="P432" s="29959" t="s">
        <v>22</v>
      </c>
      <c r="Q432" s="19680" t="s">
        <v>22</v>
      </c>
      <c r="R432" s="19967" t="s">
        <v>22</v>
      </c>
      <c r="S432" s="19968" t="s">
        <v>967</v>
      </c>
      <c r="T432" s="19960"/>
      <c r="U432" s="19960"/>
      <c r="V432" s="19960"/>
      <c r="W432" s="19960"/>
      <c r="X432" s="19960"/>
      <c r="Y432" s="19960"/>
      <c r="Z432" s="19960"/>
      <c r="AA432" s="19960"/>
      <c r="AB432" s="19960"/>
      <c r="AC432" s="19969"/>
      <c r="AD432" s="19960">
        <v>0</v>
      </c>
    </row>
    <row s="36725" customFormat="1" customHeight="1" ht="22.5">
      <c r="A433" s="19960"/>
      <c r="B433" s="19961" t="s">
        <v>1114</v>
      </c>
      <c r="C433" s="19962" t="s">
        <v>103</v>
      </c>
      <c r="D433" s="19963" t="str">
        <f>B433&amp;".1"</f>
        <v>3.133.1</v>
      </c>
      <c r="E433" s="19964" t="s">
        <v>963</v>
      </c>
      <c r="F433" s="19965" t="s">
        <v>324</v>
      </c>
      <c r="G433" s="19966" t="s">
        <v>22</v>
      </c>
      <c r="H433" s="19967" t="s">
        <v>22</v>
      </c>
      <c r="I433" s="19966" t="s">
        <v>1064</v>
      </c>
      <c r="J433" s="19967" t="s">
        <v>22</v>
      </c>
      <c r="K433" s="19966" t="s">
        <v>22</v>
      </c>
      <c r="L433" s="19967" t="s">
        <v>22</v>
      </c>
      <c r="M433" s="19966" t="s">
        <v>22</v>
      </c>
      <c r="N433" s="19967" t="s">
        <v>22</v>
      </c>
      <c r="O433" s="29958" t="s">
        <v>22</v>
      </c>
      <c r="P433" s="29959" t="s">
        <v>22</v>
      </c>
      <c r="Q433" s="19966" t="s">
        <v>22</v>
      </c>
      <c r="R433" s="19967" t="s">
        <v>22</v>
      </c>
      <c r="S433" s="19968"/>
      <c r="T433" s="19960"/>
      <c r="U433" s="19960"/>
      <c r="V433" s="19960"/>
      <c r="W433" s="19960"/>
      <c r="X433" s="19960"/>
      <c r="Y433" s="19960"/>
      <c r="Z433" s="19960"/>
      <c r="AA433" s="19960"/>
      <c r="AB433" s="19960"/>
      <c r="AC433" s="19969"/>
      <c r="AD433" s="19960">
        <v>0</v>
      </c>
    </row>
    <row s="36726" customFormat="1" customHeight="1" ht="15">
      <c r="A434" s="19960"/>
      <c r="B434" s="19961"/>
      <c r="C434" s="19962"/>
      <c r="D434" s="19963" t="str">
        <f>B433&amp;".2"</f>
        <v>3.133.2</v>
      </c>
      <c r="E434" s="19964" t="s">
        <v>964</v>
      </c>
      <c r="F434" s="19965" t="s">
        <v>324</v>
      </c>
      <c r="G434" s="19680" t="s">
        <v>22</v>
      </c>
      <c r="H434" s="19967" t="s">
        <v>22</v>
      </c>
      <c r="I434" s="33071">
        <v>45407</v>
      </c>
      <c r="J434" s="19967" t="s">
        <v>22</v>
      </c>
      <c r="K434" s="19680" t="s">
        <v>22</v>
      </c>
      <c r="L434" s="19967" t="s">
        <v>22</v>
      </c>
      <c r="M434" s="19680" t="s">
        <v>22</v>
      </c>
      <c r="N434" s="19967" t="s">
        <v>22</v>
      </c>
      <c r="O434" s="29663" t="s">
        <v>22</v>
      </c>
      <c r="P434" s="29959" t="s">
        <v>22</v>
      </c>
      <c r="Q434" s="19680" t="s">
        <v>22</v>
      </c>
      <c r="R434" s="19967" t="s">
        <v>22</v>
      </c>
      <c r="S434" s="19968" t="s">
        <v>965</v>
      </c>
      <c r="T434" s="19960"/>
      <c r="U434" s="19960"/>
      <c r="V434" s="19960"/>
      <c r="W434" s="19960"/>
      <c r="X434" s="19960"/>
      <c r="Y434" s="19960"/>
      <c r="Z434" s="19960"/>
      <c r="AA434" s="19960"/>
      <c r="AB434" s="19960"/>
      <c r="AC434" s="19969"/>
      <c r="AD434" s="19960">
        <v>0</v>
      </c>
    </row>
    <row s="36727" customFormat="1" customHeight="1" ht="15">
      <c r="A435" s="19960"/>
      <c r="B435" s="19961"/>
      <c r="C435" s="19962"/>
      <c r="D435" s="19963" t="str">
        <f>B433&amp;".3"</f>
        <v>3.133.3</v>
      </c>
      <c r="E435" s="19964" t="s">
        <v>966</v>
      </c>
      <c r="F435" s="19965" t="s">
        <v>324</v>
      </c>
      <c r="G435" s="19680" t="s">
        <v>22</v>
      </c>
      <c r="H435" s="19967" t="s">
        <v>22</v>
      </c>
      <c r="I435" s="19680" t="s">
        <v>22</v>
      </c>
      <c r="J435" s="19967" t="s">
        <v>22</v>
      </c>
      <c r="K435" s="19680" t="s">
        <v>22</v>
      </c>
      <c r="L435" s="19967" t="s">
        <v>22</v>
      </c>
      <c r="M435" s="19680" t="s">
        <v>22</v>
      </c>
      <c r="N435" s="19967" t="s">
        <v>22</v>
      </c>
      <c r="O435" s="29663" t="s">
        <v>22</v>
      </c>
      <c r="P435" s="29959" t="s">
        <v>22</v>
      </c>
      <c r="Q435" s="19680" t="s">
        <v>22</v>
      </c>
      <c r="R435" s="19967" t="s">
        <v>22</v>
      </c>
      <c r="S435" s="19968" t="s">
        <v>967</v>
      </c>
      <c r="T435" s="19960"/>
      <c r="U435" s="19960"/>
      <c r="V435" s="19960"/>
      <c r="W435" s="19960"/>
      <c r="X435" s="19960"/>
      <c r="Y435" s="19960"/>
      <c r="Z435" s="19960"/>
      <c r="AA435" s="19960"/>
      <c r="AB435" s="19960"/>
      <c r="AC435" s="19969"/>
      <c r="AD435" s="19960">
        <v>0</v>
      </c>
    </row>
    <row s="36728" customFormat="1" customHeight="1" ht="22.5">
      <c r="A436" s="19960"/>
      <c r="B436" s="19961" t="s">
        <v>1115</v>
      </c>
      <c r="C436" s="19962" t="s">
        <v>103</v>
      </c>
      <c r="D436" s="19963" t="str">
        <f>B436&amp;".1"</f>
        <v>3.134.1</v>
      </c>
      <c r="E436" s="19964" t="s">
        <v>963</v>
      </c>
      <c r="F436" s="19965" t="s">
        <v>324</v>
      </c>
      <c r="G436" s="19966" t="s">
        <v>22</v>
      </c>
      <c r="H436" s="19967" t="s">
        <v>22</v>
      </c>
      <c r="I436" s="19966" t="s">
        <v>982</v>
      </c>
      <c r="J436" s="19967" t="s">
        <v>22</v>
      </c>
      <c r="K436" s="19966" t="s">
        <v>22</v>
      </c>
      <c r="L436" s="19967" t="s">
        <v>22</v>
      </c>
      <c r="M436" s="19966" t="s">
        <v>22</v>
      </c>
      <c r="N436" s="19967" t="s">
        <v>22</v>
      </c>
      <c r="O436" s="29958" t="s">
        <v>22</v>
      </c>
      <c r="P436" s="29959" t="s">
        <v>22</v>
      </c>
      <c r="Q436" s="19966" t="s">
        <v>22</v>
      </c>
      <c r="R436" s="19967" t="s">
        <v>22</v>
      </c>
      <c r="S436" s="19968"/>
      <c r="T436" s="19960"/>
      <c r="U436" s="19960"/>
      <c r="V436" s="19960"/>
      <c r="W436" s="19960"/>
      <c r="X436" s="19960"/>
      <c r="Y436" s="19960"/>
      <c r="Z436" s="19960"/>
      <c r="AA436" s="19960"/>
      <c r="AB436" s="19960"/>
      <c r="AC436" s="19969"/>
      <c r="AD436" s="19960">
        <v>0</v>
      </c>
    </row>
    <row s="36729" customFormat="1" customHeight="1" ht="15">
      <c r="A437" s="19960"/>
      <c r="B437" s="19961"/>
      <c r="C437" s="19962"/>
      <c r="D437" s="19963" t="str">
        <f>B436&amp;".2"</f>
        <v>3.134.2</v>
      </c>
      <c r="E437" s="19964" t="s">
        <v>964</v>
      </c>
      <c r="F437" s="19965" t="s">
        <v>324</v>
      </c>
      <c r="G437" s="19680" t="s">
        <v>22</v>
      </c>
      <c r="H437" s="19967" t="s">
        <v>22</v>
      </c>
      <c r="I437" s="19680">
        <v>45407</v>
      </c>
      <c r="J437" s="19967" t="s">
        <v>22</v>
      </c>
      <c r="K437" s="19680" t="s">
        <v>22</v>
      </c>
      <c r="L437" s="19967" t="s">
        <v>22</v>
      </c>
      <c r="M437" s="19680" t="s">
        <v>22</v>
      </c>
      <c r="N437" s="19967" t="s">
        <v>22</v>
      </c>
      <c r="O437" s="29663" t="s">
        <v>22</v>
      </c>
      <c r="P437" s="29959" t="s">
        <v>22</v>
      </c>
      <c r="Q437" s="19680" t="s">
        <v>22</v>
      </c>
      <c r="R437" s="19967" t="s">
        <v>22</v>
      </c>
      <c r="S437" s="19968" t="s">
        <v>965</v>
      </c>
      <c r="T437" s="19960"/>
      <c r="U437" s="19960"/>
      <c r="V437" s="19960"/>
      <c r="W437" s="19960"/>
      <c r="X437" s="19960"/>
      <c r="Y437" s="19960"/>
      <c r="Z437" s="19960"/>
      <c r="AA437" s="19960"/>
      <c r="AB437" s="19960"/>
      <c r="AC437" s="19969"/>
      <c r="AD437" s="19960">
        <v>0</v>
      </c>
    </row>
    <row s="36730" customFormat="1" customHeight="1" ht="15">
      <c r="A438" s="19960"/>
      <c r="B438" s="19961"/>
      <c r="C438" s="19962"/>
      <c r="D438" s="19963" t="str">
        <f>B436&amp;".3"</f>
        <v>3.134.3</v>
      </c>
      <c r="E438" s="19964" t="s">
        <v>966</v>
      </c>
      <c r="F438" s="19965" t="s">
        <v>324</v>
      </c>
      <c r="G438" s="19680" t="s">
        <v>22</v>
      </c>
      <c r="H438" s="19967" t="s">
        <v>22</v>
      </c>
      <c r="I438" s="19680" t="s">
        <v>22</v>
      </c>
      <c r="J438" s="19967" t="s">
        <v>22</v>
      </c>
      <c r="K438" s="19680" t="s">
        <v>22</v>
      </c>
      <c r="L438" s="19967" t="s">
        <v>22</v>
      </c>
      <c r="M438" s="19680" t="s">
        <v>22</v>
      </c>
      <c r="N438" s="19967" t="s">
        <v>22</v>
      </c>
      <c r="O438" s="29663" t="s">
        <v>22</v>
      </c>
      <c r="P438" s="29959" t="s">
        <v>22</v>
      </c>
      <c r="Q438" s="19680" t="s">
        <v>22</v>
      </c>
      <c r="R438" s="19967" t="s">
        <v>22</v>
      </c>
      <c r="S438" s="19968" t="s">
        <v>967</v>
      </c>
      <c r="T438" s="19960"/>
      <c r="U438" s="19960"/>
      <c r="V438" s="19960"/>
      <c r="W438" s="19960"/>
      <c r="X438" s="19960"/>
      <c r="Y438" s="19960"/>
      <c r="Z438" s="19960"/>
      <c r="AA438" s="19960"/>
      <c r="AB438" s="19960"/>
      <c r="AC438" s="19969"/>
      <c r="AD438" s="19960">
        <v>0</v>
      </c>
    </row>
    <row s="36731" customFormat="1" customHeight="1" ht="22.5">
      <c r="A439" s="19960"/>
      <c r="B439" s="19961" t="s">
        <v>1116</v>
      </c>
      <c r="C439" s="19962" t="s">
        <v>103</v>
      </c>
      <c r="D439" s="19963" t="str">
        <f>B439&amp;".1"</f>
        <v>3.135.1</v>
      </c>
      <c r="E439" s="19964" t="s">
        <v>963</v>
      </c>
      <c r="F439" s="19965" t="s">
        <v>324</v>
      </c>
      <c r="G439" s="19966" t="s">
        <v>22</v>
      </c>
      <c r="H439" s="19967" t="s">
        <v>22</v>
      </c>
      <c r="I439" s="19966" t="s">
        <v>982</v>
      </c>
      <c r="J439" s="19967" t="s">
        <v>22</v>
      </c>
      <c r="K439" s="19966" t="s">
        <v>22</v>
      </c>
      <c r="L439" s="19967" t="s">
        <v>22</v>
      </c>
      <c r="M439" s="19966" t="s">
        <v>22</v>
      </c>
      <c r="N439" s="19967" t="s">
        <v>22</v>
      </c>
      <c r="O439" s="29958" t="s">
        <v>22</v>
      </c>
      <c r="P439" s="29959" t="s">
        <v>22</v>
      </c>
      <c r="Q439" s="19966" t="s">
        <v>22</v>
      </c>
      <c r="R439" s="19967" t="s">
        <v>22</v>
      </c>
      <c r="S439" s="19968"/>
      <c r="T439" s="19960"/>
      <c r="U439" s="19960"/>
      <c r="V439" s="19960"/>
      <c r="W439" s="19960"/>
      <c r="X439" s="19960"/>
      <c r="Y439" s="19960"/>
      <c r="Z439" s="19960"/>
      <c r="AA439" s="19960"/>
      <c r="AB439" s="19960"/>
      <c r="AC439" s="19969"/>
      <c r="AD439" s="19960">
        <v>0</v>
      </c>
    </row>
    <row s="36732" customFormat="1" customHeight="1" ht="15">
      <c r="A440" s="19960"/>
      <c r="B440" s="19961"/>
      <c r="C440" s="19962"/>
      <c r="D440" s="19963" t="str">
        <f>B439&amp;".2"</f>
        <v>3.135.2</v>
      </c>
      <c r="E440" s="19964" t="s">
        <v>964</v>
      </c>
      <c r="F440" s="19965" t="s">
        <v>324</v>
      </c>
      <c r="G440" s="19680" t="s">
        <v>22</v>
      </c>
      <c r="H440" s="19967" t="s">
        <v>22</v>
      </c>
      <c r="I440" s="19680">
        <v>45408</v>
      </c>
      <c r="J440" s="19967" t="s">
        <v>22</v>
      </c>
      <c r="K440" s="19680" t="s">
        <v>22</v>
      </c>
      <c r="L440" s="19967" t="s">
        <v>22</v>
      </c>
      <c r="M440" s="19680" t="s">
        <v>22</v>
      </c>
      <c r="N440" s="19967" t="s">
        <v>22</v>
      </c>
      <c r="O440" s="29663" t="s">
        <v>22</v>
      </c>
      <c r="P440" s="29959" t="s">
        <v>22</v>
      </c>
      <c r="Q440" s="19680" t="s">
        <v>22</v>
      </c>
      <c r="R440" s="19967" t="s">
        <v>22</v>
      </c>
      <c r="S440" s="19968" t="s">
        <v>965</v>
      </c>
      <c r="T440" s="19960"/>
      <c r="U440" s="19960"/>
      <c r="V440" s="19960"/>
      <c r="W440" s="19960"/>
      <c r="X440" s="19960"/>
      <c r="Y440" s="19960"/>
      <c r="Z440" s="19960"/>
      <c r="AA440" s="19960"/>
      <c r="AB440" s="19960"/>
      <c r="AC440" s="19969"/>
      <c r="AD440" s="19960">
        <v>0</v>
      </c>
    </row>
    <row s="36733" customFormat="1" customHeight="1" ht="15">
      <c r="A441" s="19960"/>
      <c r="B441" s="19961"/>
      <c r="C441" s="19962"/>
      <c r="D441" s="19963" t="str">
        <f>B439&amp;".3"</f>
        <v>3.135.3</v>
      </c>
      <c r="E441" s="19964" t="s">
        <v>966</v>
      </c>
      <c r="F441" s="19965" t="s">
        <v>324</v>
      </c>
      <c r="G441" s="19680" t="s">
        <v>22</v>
      </c>
      <c r="H441" s="19967" t="s">
        <v>22</v>
      </c>
      <c r="I441" s="19680" t="s">
        <v>22</v>
      </c>
      <c r="J441" s="19967" t="s">
        <v>22</v>
      </c>
      <c r="K441" s="19680" t="s">
        <v>22</v>
      </c>
      <c r="L441" s="19967" t="s">
        <v>22</v>
      </c>
      <c r="M441" s="19680" t="s">
        <v>22</v>
      </c>
      <c r="N441" s="19967" t="s">
        <v>22</v>
      </c>
      <c r="O441" s="29663" t="s">
        <v>22</v>
      </c>
      <c r="P441" s="29959" t="s">
        <v>22</v>
      </c>
      <c r="Q441" s="19680" t="s">
        <v>22</v>
      </c>
      <c r="R441" s="19967" t="s">
        <v>22</v>
      </c>
      <c r="S441" s="19968" t="s">
        <v>967</v>
      </c>
      <c r="T441" s="19960"/>
      <c r="U441" s="19960"/>
      <c r="V441" s="19960"/>
      <c r="W441" s="19960"/>
      <c r="X441" s="19960"/>
      <c r="Y441" s="19960"/>
      <c r="Z441" s="19960"/>
      <c r="AA441" s="19960"/>
      <c r="AB441" s="19960"/>
      <c r="AC441" s="19969"/>
      <c r="AD441" s="19960">
        <v>0</v>
      </c>
    </row>
    <row s="36734" customFormat="1" customHeight="1" ht="22.5">
      <c r="A442" s="19960"/>
      <c r="B442" s="19961" t="s">
        <v>1117</v>
      </c>
      <c r="C442" s="19962" t="s">
        <v>103</v>
      </c>
      <c r="D442" s="19963" t="str">
        <f>B442&amp;".1"</f>
        <v>3.136.1</v>
      </c>
      <c r="E442" s="19964" t="s">
        <v>963</v>
      </c>
      <c r="F442" s="19965" t="s">
        <v>324</v>
      </c>
      <c r="G442" s="19966" t="s">
        <v>22</v>
      </c>
      <c r="H442" s="19967" t="s">
        <v>22</v>
      </c>
      <c r="I442" s="19966" t="s">
        <v>1118</v>
      </c>
      <c r="J442" s="19967" t="s">
        <v>22</v>
      </c>
      <c r="K442" s="19966" t="s">
        <v>22</v>
      </c>
      <c r="L442" s="19967" t="s">
        <v>22</v>
      </c>
      <c r="M442" s="19966" t="s">
        <v>22</v>
      </c>
      <c r="N442" s="19967" t="s">
        <v>22</v>
      </c>
      <c r="O442" s="29958" t="s">
        <v>22</v>
      </c>
      <c r="P442" s="29959" t="s">
        <v>22</v>
      </c>
      <c r="Q442" s="19966" t="s">
        <v>22</v>
      </c>
      <c r="R442" s="19967" t="s">
        <v>22</v>
      </c>
      <c r="S442" s="19968"/>
      <c r="T442" s="19960"/>
      <c r="U442" s="19960"/>
      <c r="V442" s="19960"/>
      <c r="W442" s="19960"/>
      <c r="X442" s="19960"/>
      <c r="Y442" s="19960"/>
      <c r="Z442" s="19960"/>
      <c r="AA442" s="19960"/>
      <c r="AB442" s="19960"/>
      <c r="AC442" s="19969"/>
      <c r="AD442" s="19960">
        <v>0</v>
      </c>
    </row>
    <row s="36735" customFormat="1" customHeight="1" ht="15">
      <c r="A443" s="19960"/>
      <c r="B443" s="19961"/>
      <c r="C443" s="19962"/>
      <c r="D443" s="19963" t="str">
        <f>B442&amp;".2"</f>
        <v>3.136.2</v>
      </c>
      <c r="E443" s="19964" t="s">
        <v>964</v>
      </c>
      <c r="F443" s="19965" t="s">
        <v>324</v>
      </c>
      <c r="G443" s="19680" t="s">
        <v>22</v>
      </c>
      <c r="H443" s="19967" t="s">
        <v>22</v>
      </c>
      <c r="I443" s="19680">
        <v>45408</v>
      </c>
      <c r="J443" s="19967" t="s">
        <v>22</v>
      </c>
      <c r="K443" s="19680" t="s">
        <v>22</v>
      </c>
      <c r="L443" s="19967" t="s">
        <v>22</v>
      </c>
      <c r="M443" s="19680" t="s">
        <v>22</v>
      </c>
      <c r="N443" s="19967" t="s">
        <v>22</v>
      </c>
      <c r="O443" s="29663" t="s">
        <v>22</v>
      </c>
      <c r="P443" s="29959" t="s">
        <v>22</v>
      </c>
      <c r="Q443" s="19680" t="s">
        <v>22</v>
      </c>
      <c r="R443" s="19967" t="s">
        <v>22</v>
      </c>
      <c r="S443" s="19968" t="s">
        <v>965</v>
      </c>
      <c r="T443" s="19960"/>
      <c r="U443" s="19960"/>
      <c r="V443" s="19960"/>
      <c r="W443" s="19960"/>
      <c r="X443" s="19960"/>
      <c r="Y443" s="19960"/>
      <c r="Z443" s="19960"/>
      <c r="AA443" s="19960"/>
      <c r="AB443" s="19960"/>
      <c r="AC443" s="19969"/>
      <c r="AD443" s="19960">
        <v>0</v>
      </c>
    </row>
    <row s="36736" customFormat="1" customHeight="1" ht="15">
      <c r="A444" s="19960"/>
      <c r="B444" s="19961"/>
      <c r="C444" s="19962"/>
      <c r="D444" s="19963" t="str">
        <f>B442&amp;".3"</f>
        <v>3.136.3</v>
      </c>
      <c r="E444" s="19964" t="s">
        <v>966</v>
      </c>
      <c r="F444" s="19965" t="s">
        <v>324</v>
      </c>
      <c r="G444" s="19680" t="s">
        <v>22</v>
      </c>
      <c r="H444" s="19967" t="s">
        <v>22</v>
      </c>
      <c r="I444" s="19680" t="s">
        <v>22</v>
      </c>
      <c r="J444" s="19967" t="s">
        <v>22</v>
      </c>
      <c r="K444" s="19680" t="s">
        <v>22</v>
      </c>
      <c r="L444" s="19967" t="s">
        <v>22</v>
      </c>
      <c r="M444" s="19680" t="s">
        <v>22</v>
      </c>
      <c r="N444" s="19967" t="s">
        <v>22</v>
      </c>
      <c r="O444" s="29663" t="s">
        <v>22</v>
      </c>
      <c r="P444" s="29959" t="s">
        <v>22</v>
      </c>
      <c r="Q444" s="19680" t="s">
        <v>22</v>
      </c>
      <c r="R444" s="19967" t="s">
        <v>22</v>
      </c>
      <c r="S444" s="19968" t="s">
        <v>967</v>
      </c>
      <c r="T444" s="19960"/>
      <c r="U444" s="19960"/>
      <c r="V444" s="19960"/>
      <c r="W444" s="19960"/>
      <c r="X444" s="19960"/>
      <c r="Y444" s="19960"/>
      <c r="Z444" s="19960"/>
      <c r="AA444" s="19960"/>
      <c r="AB444" s="19960"/>
      <c r="AC444" s="19969"/>
      <c r="AD444" s="19960">
        <v>0</v>
      </c>
    </row>
    <row s="36737" customFormat="1" customHeight="1" ht="22.5">
      <c r="A445" s="19960"/>
      <c r="B445" s="19961" t="s">
        <v>1119</v>
      </c>
      <c r="C445" s="19962" t="s">
        <v>103</v>
      </c>
      <c r="D445" s="19963" t="str">
        <f>B445&amp;".1"</f>
        <v>3.137.1</v>
      </c>
      <c r="E445" s="19964" t="s">
        <v>963</v>
      </c>
      <c r="F445" s="19965" t="s">
        <v>324</v>
      </c>
      <c r="G445" s="19966" t="s">
        <v>22</v>
      </c>
      <c r="H445" s="19967" t="s">
        <v>22</v>
      </c>
      <c r="I445" s="19966" t="s">
        <v>1118</v>
      </c>
      <c r="J445" s="19967" t="s">
        <v>22</v>
      </c>
      <c r="K445" s="19966" t="s">
        <v>22</v>
      </c>
      <c r="L445" s="19967" t="s">
        <v>22</v>
      </c>
      <c r="M445" s="19966" t="s">
        <v>22</v>
      </c>
      <c r="N445" s="19967" t="s">
        <v>22</v>
      </c>
      <c r="O445" s="29958" t="s">
        <v>22</v>
      </c>
      <c r="P445" s="29959" t="s">
        <v>22</v>
      </c>
      <c r="Q445" s="19966" t="s">
        <v>22</v>
      </c>
      <c r="R445" s="19967" t="s">
        <v>22</v>
      </c>
      <c r="S445" s="19968"/>
      <c r="T445" s="19960"/>
      <c r="U445" s="19960"/>
      <c r="V445" s="19960"/>
      <c r="W445" s="19960"/>
      <c r="X445" s="19960"/>
      <c r="Y445" s="19960"/>
      <c r="Z445" s="19960"/>
      <c r="AA445" s="19960"/>
      <c r="AB445" s="19960"/>
      <c r="AC445" s="19969"/>
      <c r="AD445" s="19960">
        <v>0</v>
      </c>
    </row>
    <row s="36738" customFormat="1" customHeight="1" ht="15">
      <c r="A446" s="19960"/>
      <c r="B446" s="19961"/>
      <c r="C446" s="19962"/>
      <c r="D446" s="19963" t="str">
        <f>B445&amp;".2"</f>
        <v>3.137.2</v>
      </c>
      <c r="E446" s="19964" t="s">
        <v>964</v>
      </c>
      <c r="F446" s="19965" t="s">
        <v>324</v>
      </c>
      <c r="G446" s="19680" t="s">
        <v>22</v>
      </c>
      <c r="H446" s="19967" t="s">
        <v>22</v>
      </c>
      <c r="I446" s="19680">
        <v>45415</v>
      </c>
      <c r="J446" s="19967" t="s">
        <v>22</v>
      </c>
      <c r="K446" s="19680" t="s">
        <v>22</v>
      </c>
      <c r="L446" s="19967" t="s">
        <v>22</v>
      </c>
      <c r="M446" s="19680" t="s">
        <v>22</v>
      </c>
      <c r="N446" s="19967" t="s">
        <v>22</v>
      </c>
      <c r="O446" s="29663" t="s">
        <v>22</v>
      </c>
      <c r="P446" s="29959" t="s">
        <v>22</v>
      </c>
      <c r="Q446" s="19680" t="s">
        <v>22</v>
      </c>
      <c r="R446" s="19967" t="s">
        <v>22</v>
      </c>
      <c r="S446" s="19968" t="s">
        <v>965</v>
      </c>
      <c r="T446" s="19960"/>
      <c r="U446" s="19960"/>
      <c r="V446" s="19960"/>
      <c r="W446" s="19960"/>
      <c r="X446" s="19960"/>
      <c r="Y446" s="19960"/>
      <c r="Z446" s="19960"/>
      <c r="AA446" s="19960"/>
      <c r="AB446" s="19960"/>
      <c r="AC446" s="19969"/>
      <c r="AD446" s="19960">
        <v>0</v>
      </c>
    </row>
    <row s="36739" customFormat="1" customHeight="1" ht="15">
      <c r="A447" s="19960"/>
      <c r="B447" s="19961"/>
      <c r="C447" s="19962"/>
      <c r="D447" s="19963" t="str">
        <f>B445&amp;".3"</f>
        <v>3.137.3</v>
      </c>
      <c r="E447" s="19964" t="s">
        <v>966</v>
      </c>
      <c r="F447" s="19965" t="s">
        <v>324</v>
      </c>
      <c r="G447" s="19680" t="s">
        <v>22</v>
      </c>
      <c r="H447" s="19967" t="s">
        <v>22</v>
      </c>
      <c r="I447" s="19680" t="s">
        <v>22</v>
      </c>
      <c r="J447" s="19967" t="s">
        <v>22</v>
      </c>
      <c r="K447" s="19680" t="s">
        <v>22</v>
      </c>
      <c r="L447" s="19967" t="s">
        <v>22</v>
      </c>
      <c r="M447" s="19680" t="s">
        <v>22</v>
      </c>
      <c r="N447" s="19967" t="s">
        <v>22</v>
      </c>
      <c r="O447" s="29663" t="s">
        <v>22</v>
      </c>
      <c r="P447" s="29959" t="s">
        <v>22</v>
      </c>
      <c r="Q447" s="19680" t="s">
        <v>22</v>
      </c>
      <c r="R447" s="19967" t="s">
        <v>22</v>
      </c>
      <c r="S447" s="19968" t="s">
        <v>967</v>
      </c>
      <c r="T447" s="19960"/>
      <c r="U447" s="19960"/>
      <c r="V447" s="19960"/>
      <c r="W447" s="19960"/>
      <c r="X447" s="19960"/>
      <c r="Y447" s="19960"/>
      <c r="Z447" s="19960"/>
      <c r="AA447" s="19960"/>
      <c r="AB447" s="19960"/>
      <c r="AC447" s="19969"/>
      <c r="AD447" s="19960">
        <v>0</v>
      </c>
    </row>
    <row s="36740" customFormat="1" customHeight="1" ht="22.5">
      <c r="A448" s="19960"/>
      <c r="B448" s="19961" t="s">
        <v>1120</v>
      </c>
      <c r="C448" s="19962" t="s">
        <v>103</v>
      </c>
      <c r="D448" s="19963" t="str">
        <f>B448&amp;".1"</f>
        <v>3.138.1</v>
      </c>
      <c r="E448" s="19964" t="s">
        <v>963</v>
      </c>
      <c r="F448" s="19965" t="s">
        <v>324</v>
      </c>
      <c r="G448" s="19966" t="s">
        <v>22</v>
      </c>
      <c r="H448" s="19967" t="s">
        <v>22</v>
      </c>
      <c r="I448" s="19966" t="s">
        <v>1118</v>
      </c>
      <c r="J448" s="19967" t="s">
        <v>22</v>
      </c>
      <c r="K448" s="19966" t="s">
        <v>22</v>
      </c>
      <c r="L448" s="19967" t="s">
        <v>22</v>
      </c>
      <c r="M448" s="19966" t="s">
        <v>22</v>
      </c>
      <c r="N448" s="19967" t="s">
        <v>22</v>
      </c>
      <c r="O448" s="29958" t="s">
        <v>22</v>
      </c>
      <c r="P448" s="29959" t="s">
        <v>22</v>
      </c>
      <c r="Q448" s="19966" t="s">
        <v>22</v>
      </c>
      <c r="R448" s="19967" t="s">
        <v>22</v>
      </c>
      <c r="S448" s="19968"/>
      <c r="T448" s="19960"/>
      <c r="U448" s="19960"/>
      <c r="V448" s="19960"/>
      <c r="W448" s="19960"/>
      <c r="X448" s="19960"/>
      <c r="Y448" s="19960"/>
      <c r="Z448" s="19960"/>
      <c r="AA448" s="19960"/>
      <c r="AB448" s="19960"/>
      <c r="AC448" s="19969"/>
      <c r="AD448" s="19960">
        <v>0</v>
      </c>
    </row>
    <row s="36741" customFormat="1" customHeight="1" ht="15">
      <c r="A449" s="19960"/>
      <c r="B449" s="19961"/>
      <c r="C449" s="19962"/>
      <c r="D449" s="19963" t="str">
        <f>B448&amp;".2"</f>
        <v>3.138.2</v>
      </c>
      <c r="E449" s="19964" t="s">
        <v>964</v>
      </c>
      <c r="F449" s="19965" t="s">
        <v>324</v>
      </c>
      <c r="G449" s="19680" t="s">
        <v>22</v>
      </c>
      <c r="H449" s="19967" t="s">
        <v>22</v>
      </c>
      <c r="I449" s="19680">
        <v>45420</v>
      </c>
      <c r="J449" s="19967" t="s">
        <v>22</v>
      </c>
      <c r="K449" s="19680" t="s">
        <v>22</v>
      </c>
      <c r="L449" s="19967" t="s">
        <v>22</v>
      </c>
      <c r="M449" s="19680" t="s">
        <v>22</v>
      </c>
      <c r="N449" s="19967" t="s">
        <v>22</v>
      </c>
      <c r="O449" s="29663" t="s">
        <v>22</v>
      </c>
      <c r="P449" s="29959" t="s">
        <v>22</v>
      </c>
      <c r="Q449" s="19680" t="s">
        <v>22</v>
      </c>
      <c r="R449" s="19967" t="s">
        <v>22</v>
      </c>
      <c r="S449" s="19968" t="s">
        <v>965</v>
      </c>
      <c r="T449" s="19960"/>
      <c r="U449" s="19960"/>
      <c r="V449" s="19960"/>
      <c r="W449" s="19960"/>
      <c r="X449" s="19960"/>
      <c r="Y449" s="19960"/>
      <c r="Z449" s="19960"/>
      <c r="AA449" s="19960"/>
      <c r="AB449" s="19960"/>
      <c r="AC449" s="19969"/>
      <c r="AD449" s="19960">
        <v>0</v>
      </c>
    </row>
    <row s="36742" customFormat="1" customHeight="1" ht="15">
      <c r="A450" s="19960"/>
      <c r="B450" s="19961"/>
      <c r="C450" s="19962"/>
      <c r="D450" s="19963" t="str">
        <f>B448&amp;".3"</f>
        <v>3.138.3</v>
      </c>
      <c r="E450" s="19964" t="s">
        <v>966</v>
      </c>
      <c r="F450" s="19965" t="s">
        <v>324</v>
      </c>
      <c r="G450" s="19680" t="s">
        <v>22</v>
      </c>
      <c r="H450" s="19967" t="s">
        <v>22</v>
      </c>
      <c r="I450" s="19680" t="s">
        <v>22</v>
      </c>
      <c r="J450" s="19967" t="s">
        <v>22</v>
      </c>
      <c r="K450" s="19680" t="s">
        <v>22</v>
      </c>
      <c r="L450" s="19967" t="s">
        <v>22</v>
      </c>
      <c r="M450" s="19680" t="s">
        <v>22</v>
      </c>
      <c r="N450" s="19967" t="s">
        <v>22</v>
      </c>
      <c r="O450" s="29663" t="s">
        <v>22</v>
      </c>
      <c r="P450" s="29959" t="s">
        <v>22</v>
      </c>
      <c r="Q450" s="19680" t="s">
        <v>22</v>
      </c>
      <c r="R450" s="19967" t="s">
        <v>22</v>
      </c>
      <c r="S450" s="19968" t="s">
        <v>967</v>
      </c>
      <c r="T450" s="19960"/>
      <c r="U450" s="19960"/>
      <c r="V450" s="19960"/>
      <c r="W450" s="19960"/>
      <c r="X450" s="19960"/>
      <c r="Y450" s="19960"/>
      <c r="Z450" s="19960"/>
      <c r="AA450" s="19960"/>
      <c r="AB450" s="19960"/>
      <c r="AC450" s="19969"/>
      <c r="AD450" s="19960">
        <v>0</v>
      </c>
    </row>
    <row s="36743" customFormat="1" customHeight="1" ht="22.5">
      <c r="A451" s="19960"/>
      <c r="B451" s="19961" t="s">
        <v>1121</v>
      </c>
      <c r="C451" s="19962" t="s">
        <v>103</v>
      </c>
      <c r="D451" s="19963" t="str">
        <f>B451&amp;".1"</f>
        <v>3.139.1</v>
      </c>
      <c r="E451" s="19964" t="s">
        <v>963</v>
      </c>
      <c r="F451" s="19965" t="s">
        <v>324</v>
      </c>
      <c r="G451" s="19966" t="s">
        <v>22</v>
      </c>
      <c r="H451" s="19967" t="s">
        <v>22</v>
      </c>
      <c r="I451" s="19966" t="s">
        <v>1118</v>
      </c>
      <c r="J451" s="19967" t="s">
        <v>22</v>
      </c>
      <c r="K451" s="19966" t="s">
        <v>22</v>
      </c>
      <c r="L451" s="19967" t="s">
        <v>22</v>
      </c>
      <c r="M451" s="19966" t="s">
        <v>22</v>
      </c>
      <c r="N451" s="19967" t="s">
        <v>22</v>
      </c>
      <c r="O451" s="29958" t="s">
        <v>22</v>
      </c>
      <c r="P451" s="29959" t="s">
        <v>22</v>
      </c>
      <c r="Q451" s="19966" t="s">
        <v>22</v>
      </c>
      <c r="R451" s="19967" t="s">
        <v>22</v>
      </c>
      <c r="S451" s="19968"/>
      <c r="T451" s="19960"/>
      <c r="U451" s="19960"/>
      <c r="V451" s="19960"/>
      <c r="W451" s="19960"/>
      <c r="X451" s="19960"/>
      <c r="Y451" s="19960"/>
      <c r="Z451" s="19960"/>
      <c r="AA451" s="19960"/>
      <c r="AB451" s="19960"/>
      <c r="AC451" s="19969"/>
      <c r="AD451" s="19960">
        <v>0</v>
      </c>
    </row>
    <row s="36744" customFormat="1" customHeight="1" ht="15">
      <c r="A452" s="19960"/>
      <c r="B452" s="19961"/>
      <c r="C452" s="19962"/>
      <c r="D452" s="19963" t="str">
        <f>B451&amp;".2"</f>
        <v>3.139.2</v>
      </c>
      <c r="E452" s="19964" t="s">
        <v>964</v>
      </c>
      <c r="F452" s="19965" t="s">
        <v>324</v>
      </c>
      <c r="G452" s="19680" t="s">
        <v>22</v>
      </c>
      <c r="H452" s="19967" t="s">
        <v>22</v>
      </c>
      <c r="I452" s="19680">
        <v>45425</v>
      </c>
      <c r="J452" s="19967" t="s">
        <v>22</v>
      </c>
      <c r="K452" s="19680" t="s">
        <v>22</v>
      </c>
      <c r="L452" s="19967" t="s">
        <v>22</v>
      </c>
      <c r="M452" s="19680" t="s">
        <v>22</v>
      </c>
      <c r="N452" s="19967" t="s">
        <v>22</v>
      </c>
      <c r="O452" s="29663" t="s">
        <v>22</v>
      </c>
      <c r="P452" s="29959" t="s">
        <v>22</v>
      </c>
      <c r="Q452" s="19680" t="s">
        <v>22</v>
      </c>
      <c r="R452" s="19967" t="s">
        <v>22</v>
      </c>
      <c r="S452" s="19968" t="s">
        <v>965</v>
      </c>
      <c r="T452" s="19960"/>
      <c r="U452" s="19960"/>
      <c r="V452" s="19960"/>
      <c r="W452" s="19960"/>
      <c r="X452" s="19960"/>
      <c r="Y452" s="19960"/>
      <c r="Z452" s="19960"/>
      <c r="AA452" s="19960"/>
      <c r="AB452" s="19960"/>
      <c r="AC452" s="19969"/>
      <c r="AD452" s="19960">
        <v>0</v>
      </c>
    </row>
    <row s="36745" customFormat="1" customHeight="1" ht="15">
      <c r="A453" s="19960"/>
      <c r="B453" s="19961"/>
      <c r="C453" s="19962"/>
      <c r="D453" s="19963" t="str">
        <f>B451&amp;".3"</f>
        <v>3.139.3</v>
      </c>
      <c r="E453" s="19964" t="s">
        <v>966</v>
      </c>
      <c r="F453" s="19965" t="s">
        <v>324</v>
      </c>
      <c r="G453" s="19680" t="s">
        <v>22</v>
      </c>
      <c r="H453" s="19967" t="s">
        <v>22</v>
      </c>
      <c r="I453" s="19680" t="s">
        <v>22</v>
      </c>
      <c r="J453" s="19967" t="s">
        <v>22</v>
      </c>
      <c r="K453" s="19680" t="s">
        <v>22</v>
      </c>
      <c r="L453" s="19967" t="s">
        <v>22</v>
      </c>
      <c r="M453" s="19680" t="s">
        <v>22</v>
      </c>
      <c r="N453" s="19967" t="s">
        <v>22</v>
      </c>
      <c r="O453" s="29663" t="s">
        <v>22</v>
      </c>
      <c r="P453" s="29959" t="s">
        <v>22</v>
      </c>
      <c r="Q453" s="19680" t="s">
        <v>22</v>
      </c>
      <c r="R453" s="19967" t="s">
        <v>22</v>
      </c>
      <c r="S453" s="19968" t="s">
        <v>967</v>
      </c>
      <c r="T453" s="19960"/>
      <c r="U453" s="19960"/>
      <c r="V453" s="19960"/>
      <c r="W453" s="19960"/>
      <c r="X453" s="19960"/>
      <c r="Y453" s="19960"/>
      <c r="Z453" s="19960"/>
      <c r="AA453" s="19960"/>
      <c r="AB453" s="19960"/>
      <c r="AC453" s="19969"/>
      <c r="AD453" s="19960">
        <v>0</v>
      </c>
    </row>
    <row s="36746" customFormat="1" customHeight="1" ht="22.5">
      <c r="A454" s="19960"/>
      <c r="B454" s="19961" t="s">
        <v>1122</v>
      </c>
      <c r="C454" s="19962" t="s">
        <v>103</v>
      </c>
      <c r="D454" s="19963" t="str">
        <f>B454&amp;".1"</f>
        <v>3.140.1</v>
      </c>
      <c r="E454" s="19964" t="s">
        <v>963</v>
      </c>
      <c r="F454" s="19965" t="s">
        <v>324</v>
      </c>
      <c r="G454" s="19966" t="s">
        <v>22</v>
      </c>
      <c r="H454" s="19967" t="s">
        <v>22</v>
      </c>
      <c r="I454" s="19966" t="s">
        <v>1118</v>
      </c>
      <c r="J454" s="19967" t="s">
        <v>22</v>
      </c>
      <c r="K454" s="19966" t="s">
        <v>22</v>
      </c>
      <c r="L454" s="19967" t="s">
        <v>22</v>
      </c>
      <c r="M454" s="19966" t="s">
        <v>22</v>
      </c>
      <c r="N454" s="19967" t="s">
        <v>22</v>
      </c>
      <c r="O454" s="29958" t="s">
        <v>22</v>
      </c>
      <c r="P454" s="29959" t="s">
        <v>22</v>
      </c>
      <c r="Q454" s="19966" t="s">
        <v>22</v>
      </c>
      <c r="R454" s="19967" t="s">
        <v>22</v>
      </c>
      <c r="S454" s="19968"/>
      <c r="T454" s="19960"/>
      <c r="U454" s="19960"/>
      <c r="V454" s="19960"/>
      <c r="W454" s="19960"/>
      <c r="X454" s="19960"/>
      <c r="Y454" s="19960"/>
      <c r="Z454" s="19960"/>
      <c r="AA454" s="19960"/>
      <c r="AB454" s="19960"/>
      <c r="AC454" s="19969"/>
      <c r="AD454" s="19960">
        <v>0</v>
      </c>
    </row>
    <row s="36747" customFormat="1" customHeight="1" ht="15">
      <c r="A455" s="19960"/>
      <c r="B455" s="19961"/>
      <c r="C455" s="19962"/>
      <c r="D455" s="19963" t="str">
        <f>B454&amp;".2"</f>
        <v>3.140.2</v>
      </c>
      <c r="E455" s="19964" t="s">
        <v>964</v>
      </c>
      <c r="F455" s="19965" t="s">
        <v>324</v>
      </c>
      <c r="G455" s="19680" t="s">
        <v>22</v>
      </c>
      <c r="H455" s="19967" t="s">
        <v>22</v>
      </c>
      <c r="I455" s="19680">
        <v>45425</v>
      </c>
      <c r="J455" s="19967" t="s">
        <v>22</v>
      </c>
      <c r="K455" s="19680" t="s">
        <v>22</v>
      </c>
      <c r="L455" s="19967" t="s">
        <v>22</v>
      </c>
      <c r="M455" s="19680" t="s">
        <v>22</v>
      </c>
      <c r="N455" s="19967" t="s">
        <v>22</v>
      </c>
      <c r="O455" s="29663" t="s">
        <v>22</v>
      </c>
      <c r="P455" s="29959" t="s">
        <v>22</v>
      </c>
      <c r="Q455" s="19680" t="s">
        <v>22</v>
      </c>
      <c r="R455" s="19967" t="s">
        <v>22</v>
      </c>
      <c r="S455" s="19968" t="s">
        <v>965</v>
      </c>
      <c r="T455" s="19960"/>
      <c r="U455" s="19960"/>
      <c r="V455" s="19960"/>
      <c r="W455" s="19960"/>
      <c r="X455" s="19960"/>
      <c r="Y455" s="19960"/>
      <c r="Z455" s="19960"/>
      <c r="AA455" s="19960"/>
      <c r="AB455" s="19960"/>
      <c r="AC455" s="19969"/>
      <c r="AD455" s="19960">
        <v>0</v>
      </c>
    </row>
    <row s="36748" customFormat="1" customHeight="1" ht="15">
      <c r="A456" s="19960"/>
      <c r="B456" s="19961"/>
      <c r="C456" s="19962"/>
      <c r="D456" s="19963" t="str">
        <f>B454&amp;".3"</f>
        <v>3.140.3</v>
      </c>
      <c r="E456" s="19964" t="s">
        <v>966</v>
      </c>
      <c r="F456" s="19965" t="s">
        <v>324</v>
      </c>
      <c r="G456" s="19680" t="s">
        <v>22</v>
      </c>
      <c r="H456" s="19967" t="s">
        <v>22</v>
      </c>
      <c r="I456" s="19680" t="s">
        <v>22</v>
      </c>
      <c r="J456" s="19967" t="s">
        <v>22</v>
      </c>
      <c r="K456" s="19680" t="s">
        <v>22</v>
      </c>
      <c r="L456" s="19967" t="s">
        <v>22</v>
      </c>
      <c r="M456" s="19680" t="s">
        <v>22</v>
      </c>
      <c r="N456" s="19967" t="s">
        <v>22</v>
      </c>
      <c r="O456" s="29663" t="s">
        <v>22</v>
      </c>
      <c r="P456" s="29959" t="s">
        <v>22</v>
      </c>
      <c r="Q456" s="19680" t="s">
        <v>22</v>
      </c>
      <c r="R456" s="19967" t="s">
        <v>22</v>
      </c>
      <c r="S456" s="19968" t="s">
        <v>967</v>
      </c>
      <c r="T456" s="19960"/>
      <c r="U456" s="19960"/>
      <c r="V456" s="19960"/>
      <c r="W456" s="19960"/>
      <c r="X456" s="19960"/>
      <c r="Y456" s="19960"/>
      <c r="Z456" s="19960"/>
      <c r="AA456" s="19960"/>
      <c r="AB456" s="19960"/>
      <c r="AC456" s="19969"/>
      <c r="AD456" s="19960">
        <v>0</v>
      </c>
    </row>
    <row s="36749" customFormat="1" customHeight="1" ht="22.5">
      <c r="A457" s="19960"/>
      <c r="B457" s="19961" t="s">
        <v>1123</v>
      </c>
      <c r="C457" s="19962" t="s">
        <v>103</v>
      </c>
      <c r="D457" s="19963" t="str">
        <f>B457&amp;".1"</f>
        <v>3.141.1</v>
      </c>
      <c r="E457" s="19964" t="s">
        <v>963</v>
      </c>
      <c r="F457" s="19965" t="s">
        <v>324</v>
      </c>
      <c r="G457" s="19966" t="s">
        <v>22</v>
      </c>
      <c r="H457" s="19967" t="s">
        <v>22</v>
      </c>
      <c r="I457" s="19966" t="s">
        <v>1118</v>
      </c>
      <c r="J457" s="19967" t="s">
        <v>22</v>
      </c>
      <c r="K457" s="19966" t="s">
        <v>22</v>
      </c>
      <c r="L457" s="19967" t="s">
        <v>22</v>
      </c>
      <c r="M457" s="19966" t="s">
        <v>22</v>
      </c>
      <c r="N457" s="19967" t="s">
        <v>22</v>
      </c>
      <c r="O457" s="29958" t="s">
        <v>22</v>
      </c>
      <c r="P457" s="29959" t="s">
        <v>22</v>
      </c>
      <c r="Q457" s="19966" t="s">
        <v>22</v>
      </c>
      <c r="R457" s="19967" t="s">
        <v>22</v>
      </c>
      <c r="S457" s="19968"/>
      <c r="T457" s="19960"/>
      <c r="U457" s="19960"/>
      <c r="V457" s="19960"/>
      <c r="W457" s="19960"/>
      <c r="X457" s="19960"/>
      <c r="Y457" s="19960"/>
      <c r="Z457" s="19960"/>
      <c r="AA457" s="19960"/>
      <c r="AB457" s="19960"/>
      <c r="AC457" s="19969"/>
      <c r="AD457" s="19960">
        <v>0</v>
      </c>
    </row>
    <row s="36750" customFormat="1" customHeight="1" ht="15">
      <c r="A458" s="19960"/>
      <c r="B458" s="19961"/>
      <c r="C458" s="19962"/>
      <c r="D458" s="19963" t="str">
        <f>B457&amp;".2"</f>
        <v>3.141.2</v>
      </c>
      <c r="E458" s="19964" t="s">
        <v>964</v>
      </c>
      <c r="F458" s="19965" t="s">
        <v>324</v>
      </c>
      <c r="G458" s="19680" t="s">
        <v>22</v>
      </c>
      <c r="H458" s="19967" t="s">
        <v>22</v>
      </c>
      <c r="I458" s="19680">
        <v>45427</v>
      </c>
      <c r="J458" s="19967" t="s">
        <v>22</v>
      </c>
      <c r="K458" s="19680" t="s">
        <v>22</v>
      </c>
      <c r="L458" s="19967" t="s">
        <v>22</v>
      </c>
      <c r="M458" s="19680" t="s">
        <v>22</v>
      </c>
      <c r="N458" s="19967" t="s">
        <v>22</v>
      </c>
      <c r="O458" s="29663" t="s">
        <v>22</v>
      </c>
      <c r="P458" s="29959" t="s">
        <v>22</v>
      </c>
      <c r="Q458" s="19680" t="s">
        <v>22</v>
      </c>
      <c r="R458" s="19967" t="s">
        <v>22</v>
      </c>
      <c r="S458" s="19968" t="s">
        <v>965</v>
      </c>
      <c r="T458" s="19960"/>
      <c r="U458" s="19960"/>
      <c r="V458" s="19960"/>
      <c r="W458" s="19960"/>
      <c r="X458" s="19960"/>
      <c r="Y458" s="19960"/>
      <c r="Z458" s="19960"/>
      <c r="AA458" s="19960"/>
      <c r="AB458" s="19960"/>
      <c r="AC458" s="19969"/>
      <c r="AD458" s="19960">
        <v>0</v>
      </c>
    </row>
    <row s="36751" customFormat="1" customHeight="1" ht="15">
      <c r="A459" s="19960"/>
      <c r="B459" s="19961"/>
      <c r="C459" s="19962"/>
      <c r="D459" s="19963" t="str">
        <f>B457&amp;".3"</f>
        <v>3.141.3</v>
      </c>
      <c r="E459" s="19964" t="s">
        <v>966</v>
      </c>
      <c r="F459" s="19965" t="s">
        <v>324</v>
      </c>
      <c r="G459" s="19680" t="s">
        <v>22</v>
      </c>
      <c r="H459" s="19967" t="s">
        <v>22</v>
      </c>
      <c r="I459" s="19680" t="s">
        <v>22</v>
      </c>
      <c r="J459" s="19967" t="s">
        <v>22</v>
      </c>
      <c r="K459" s="19680" t="s">
        <v>22</v>
      </c>
      <c r="L459" s="19967" t="s">
        <v>22</v>
      </c>
      <c r="M459" s="19680" t="s">
        <v>22</v>
      </c>
      <c r="N459" s="19967" t="s">
        <v>22</v>
      </c>
      <c r="O459" s="29663" t="s">
        <v>22</v>
      </c>
      <c r="P459" s="29959" t="s">
        <v>22</v>
      </c>
      <c r="Q459" s="19680" t="s">
        <v>22</v>
      </c>
      <c r="R459" s="19967" t="s">
        <v>22</v>
      </c>
      <c r="S459" s="19968" t="s">
        <v>967</v>
      </c>
      <c r="T459" s="19960"/>
      <c r="U459" s="19960"/>
      <c r="V459" s="19960"/>
      <c r="W459" s="19960"/>
      <c r="X459" s="19960"/>
      <c r="Y459" s="19960"/>
      <c r="Z459" s="19960"/>
      <c r="AA459" s="19960"/>
      <c r="AB459" s="19960"/>
      <c r="AC459" s="19969"/>
      <c r="AD459" s="19960">
        <v>0</v>
      </c>
    </row>
    <row s="36752" customFormat="1" customHeight="1" ht="22.5">
      <c r="A460" s="19960"/>
      <c r="B460" s="19961" t="s">
        <v>1124</v>
      </c>
      <c r="C460" s="19962" t="s">
        <v>103</v>
      </c>
      <c r="D460" s="19963" t="str">
        <f>B460&amp;".1"</f>
        <v>3.142.1</v>
      </c>
      <c r="E460" s="19964" t="s">
        <v>963</v>
      </c>
      <c r="F460" s="19965" t="s">
        <v>324</v>
      </c>
      <c r="G460" s="19966" t="s">
        <v>22</v>
      </c>
      <c r="H460" s="19967" t="s">
        <v>22</v>
      </c>
      <c r="I460" s="19966" t="s">
        <v>1125</v>
      </c>
      <c r="J460" s="19967" t="s">
        <v>22</v>
      </c>
      <c r="K460" s="19966" t="s">
        <v>22</v>
      </c>
      <c r="L460" s="19967" t="s">
        <v>22</v>
      </c>
      <c r="M460" s="19966" t="s">
        <v>22</v>
      </c>
      <c r="N460" s="19967" t="s">
        <v>22</v>
      </c>
      <c r="O460" s="29958" t="s">
        <v>22</v>
      </c>
      <c r="P460" s="29959" t="s">
        <v>22</v>
      </c>
      <c r="Q460" s="19966" t="s">
        <v>22</v>
      </c>
      <c r="R460" s="19967" t="s">
        <v>22</v>
      </c>
      <c r="S460" s="19968"/>
      <c r="T460" s="19960"/>
      <c r="U460" s="19960"/>
      <c r="V460" s="19960"/>
      <c r="W460" s="19960"/>
      <c r="X460" s="19960"/>
      <c r="Y460" s="19960"/>
      <c r="Z460" s="19960"/>
      <c r="AA460" s="19960"/>
      <c r="AB460" s="19960"/>
      <c r="AC460" s="19969"/>
      <c r="AD460" s="19960">
        <v>0</v>
      </c>
    </row>
    <row s="36753" customFormat="1" customHeight="1" ht="15">
      <c r="A461" s="19960"/>
      <c r="B461" s="19961"/>
      <c r="C461" s="19962"/>
      <c r="D461" s="19963" t="str">
        <f>B460&amp;".2"</f>
        <v>3.142.2</v>
      </c>
      <c r="E461" s="19964" t="s">
        <v>964</v>
      </c>
      <c r="F461" s="19965" t="s">
        <v>324</v>
      </c>
      <c r="G461" s="19680" t="s">
        <v>22</v>
      </c>
      <c r="H461" s="19967" t="s">
        <v>22</v>
      </c>
      <c r="I461" s="19680">
        <v>45427</v>
      </c>
      <c r="J461" s="19967" t="s">
        <v>22</v>
      </c>
      <c r="K461" s="19680" t="s">
        <v>22</v>
      </c>
      <c r="L461" s="19967" t="s">
        <v>22</v>
      </c>
      <c r="M461" s="19680" t="s">
        <v>22</v>
      </c>
      <c r="N461" s="19967" t="s">
        <v>22</v>
      </c>
      <c r="O461" s="29663" t="s">
        <v>22</v>
      </c>
      <c r="P461" s="29959" t="s">
        <v>22</v>
      </c>
      <c r="Q461" s="19680" t="s">
        <v>22</v>
      </c>
      <c r="R461" s="19967" t="s">
        <v>22</v>
      </c>
      <c r="S461" s="19968" t="s">
        <v>965</v>
      </c>
      <c r="T461" s="19960"/>
      <c r="U461" s="19960"/>
      <c r="V461" s="19960"/>
      <c r="W461" s="19960"/>
      <c r="X461" s="19960"/>
      <c r="Y461" s="19960"/>
      <c r="Z461" s="19960"/>
      <c r="AA461" s="19960"/>
      <c r="AB461" s="19960"/>
      <c r="AC461" s="19969"/>
      <c r="AD461" s="19960">
        <v>0</v>
      </c>
    </row>
    <row s="36754" customFormat="1" customHeight="1" ht="15">
      <c r="A462" s="19960"/>
      <c r="B462" s="19961"/>
      <c r="C462" s="19962"/>
      <c r="D462" s="19963" t="str">
        <f>B460&amp;".3"</f>
        <v>3.142.3</v>
      </c>
      <c r="E462" s="19964" t="s">
        <v>966</v>
      </c>
      <c r="F462" s="19965" t="s">
        <v>324</v>
      </c>
      <c r="G462" s="19680" t="s">
        <v>22</v>
      </c>
      <c r="H462" s="19967" t="s">
        <v>22</v>
      </c>
      <c r="I462" s="19680">
        <v>45439</v>
      </c>
      <c r="J462" s="19967" t="s">
        <v>22</v>
      </c>
      <c r="K462" s="19680" t="s">
        <v>22</v>
      </c>
      <c r="L462" s="19967" t="s">
        <v>22</v>
      </c>
      <c r="M462" s="19680" t="s">
        <v>22</v>
      </c>
      <c r="N462" s="19967" t="s">
        <v>22</v>
      </c>
      <c r="O462" s="29663" t="s">
        <v>22</v>
      </c>
      <c r="P462" s="29959" t="s">
        <v>22</v>
      </c>
      <c r="Q462" s="19680" t="s">
        <v>22</v>
      </c>
      <c r="R462" s="19967" t="s">
        <v>22</v>
      </c>
      <c r="S462" s="19968" t="s">
        <v>967</v>
      </c>
      <c r="T462" s="19960"/>
      <c r="U462" s="19960"/>
      <c r="V462" s="19960"/>
      <c r="W462" s="19960"/>
      <c r="X462" s="19960"/>
      <c r="Y462" s="19960"/>
      <c r="Z462" s="19960"/>
      <c r="AA462" s="19960"/>
      <c r="AB462" s="19960"/>
      <c r="AC462" s="19969"/>
      <c r="AD462" s="19960">
        <v>0</v>
      </c>
    </row>
    <row s="36755" customFormat="1" customHeight="1" ht="22.5">
      <c r="A463" s="19960"/>
      <c r="B463" s="19961" t="s">
        <v>1126</v>
      </c>
      <c r="C463" s="19962" t="s">
        <v>103</v>
      </c>
      <c r="D463" s="19963" t="str">
        <f>B463&amp;".1"</f>
        <v>3.143.1</v>
      </c>
      <c r="E463" s="19964" t="s">
        <v>963</v>
      </c>
      <c r="F463" s="19965" t="s">
        <v>324</v>
      </c>
      <c r="G463" s="19966" t="s">
        <v>22</v>
      </c>
      <c r="H463" s="19967" t="s">
        <v>22</v>
      </c>
      <c r="I463" s="19966" t="s">
        <v>1125</v>
      </c>
      <c r="J463" s="19967" t="s">
        <v>22</v>
      </c>
      <c r="K463" s="19966" t="s">
        <v>22</v>
      </c>
      <c r="L463" s="19967" t="s">
        <v>22</v>
      </c>
      <c r="M463" s="19966" t="s">
        <v>22</v>
      </c>
      <c r="N463" s="19967" t="s">
        <v>22</v>
      </c>
      <c r="O463" s="29958" t="s">
        <v>22</v>
      </c>
      <c r="P463" s="29959" t="s">
        <v>22</v>
      </c>
      <c r="Q463" s="19966" t="s">
        <v>22</v>
      </c>
      <c r="R463" s="19967" t="s">
        <v>22</v>
      </c>
      <c r="S463" s="19968"/>
      <c r="T463" s="19960"/>
      <c r="U463" s="19960"/>
      <c r="V463" s="19960"/>
      <c r="W463" s="19960"/>
      <c r="X463" s="19960"/>
      <c r="Y463" s="19960"/>
      <c r="Z463" s="19960"/>
      <c r="AA463" s="19960"/>
      <c r="AB463" s="19960"/>
      <c r="AC463" s="19969"/>
      <c r="AD463" s="19960">
        <v>0</v>
      </c>
    </row>
    <row s="36756" customFormat="1" customHeight="1" ht="15">
      <c r="A464" s="19960"/>
      <c r="B464" s="19961"/>
      <c r="C464" s="19962"/>
      <c r="D464" s="19963" t="str">
        <f>B463&amp;".2"</f>
        <v>3.143.2</v>
      </c>
      <c r="E464" s="19964" t="s">
        <v>964</v>
      </c>
      <c r="F464" s="19965" t="s">
        <v>324</v>
      </c>
      <c r="G464" s="19680" t="s">
        <v>22</v>
      </c>
      <c r="H464" s="19967" t="s">
        <v>22</v>
      </c>
      <c r="I464" s="19680">
        <v>45427</v>
      </c>
      <c r="J464" s="19967" t="s">
        <v>22</v>
      </c>
      <c r="K464" s="19680" t="s">
        <v>22</v>
      </c>
      <c r="L464" s="19967" t="s">
        <v>22</v>
      </c>
      <c r="M464" s="19680" t="s">
        <v>22</v>
      </c>
      <c r="N464" s="19967" t="s">
        <v>22</v>
      </c>
      <c r="O464" s="29663" t="s">
        <v>22</v>
      </c>
      <c r="P464" s="29959" t="s">
        <v>22</v>
      </c>
      <c r="Q464" s="19680" t="s">
        <v>22</v>
      </c>
      <c r="R464" s="19967" t="s">
        <v>22</v>
      </c>
      <c r="S464" s="19968" t="s">
        <v>965</v>
      </c>
      <c r="T464" s="19960"/>
      <c r="U464" s="19960"/>
      <c r="V464" s="19960"/>
      <c r="W464" s="19960"/>
      <c r="X464" s="19960"/>
      <c r="Y464" s="19960"/>
      <c r="Z464" s="19960"/>
      <c r="AA464" s="19960"/>
      <c r="AB464" s="19960"/>
      <c r="AC464" s="19969"/>
      <c r="AD464" s="19960">
        <v>0</v>
      </c>
    </row>
    <row s="36757" customFormat="1" customHeight="1" ht="15">
      <c r="A465" s="19960"/>
      <c r="B465" s="19961"/>
      <c r="C465" s="19962"/>
      <c r="D465" s="19963" t="str">
        <f>B463&amp;".3"</f>
        <v>3.143.3</v>
      </c>
      <c r="E465" s="19964" t="s">
        <v>966</v>
      </c>
      <c r="F465" s="19965" t="s">
        <v>324</v>
      </c>
      <c r="G465" s="19680" t="s">
        <v>22</v>
      </c>
      <c r="H465" s="19967" t="s">
        <v>22</v>
      </c>
      <c r="I465" s="19680">
        <v>45432</v>
      </c>
      <c r="J465" s="19967" t="s">
        <v>22</v>
      </c>
      <c r="K465" s="19680" t="s">
        <v>22</v>
      </c>
      <c r="L465" s="19967" t="s">
        <v>22</v>
      </c>
      <c r="M465" s="19680" t="s">
        <v>22</v>
      </c>
      <c r="N465" s="19967" t="s">
        <v>22</v>
      </c>
      <c r="O465" s="29663" t="s">
        <v>22</v>
      </c>
      <c r="P465" s="29959" t="s">
        <v>22</v>
      </c>
      <c r="Q465" s="19680" t="s">
        <v>22</v>
      </c>
      <c r="R465" s="19967" t="s">
        <v>22</v>
      </c>
      <c r="S465" s="19968" t="s">
        <v>967</v>
      </c>
      <c r="T465" s="19960"/>
      <c r="U465" s="19960"/>
      <c r="V465" s="19960"/>
      <c r="W465" s="19960"/>
      <c r="X465" s="19960"/>
      <c r="Y465" s="19960"/>
      <c r="Z465" s="19960"/>
      <c r="AA465" s="19960"/>
      <c r="AB465" s="19960"/>
      <c r="AC465" s="19969"/>
      <c r="AD465" s="19960">
        <v>0</v>
      </c>
    </row>
    <row s="36758" customFormat="1" customHeight="1" ht="22.5">
      <c r="A466" s="19960"/>
      <c r="B466" s="19961" t="s">
        <v>1127</v>
      </c>
      <c r="C466" s="19962" t="s">
        <v>103</v>
      </c>
      <c r="D466" s="19963" t="str">
        <f>B466&amp;".1"</f>
        <v>3.144.1</v>
      </c>
      <c r="E466" s="19964" t="s">
        <v>963</v>
      </c>
      <c r="F466" s="19965" t="s">
        <v>324</v>
      </c>
      <c r="G466" s="19966" t="s">
        <v>22</v>
      </c>
      <c r="H466" s="19967" t="s">
        <v>22</v>
      </c>
      <c r="I466" s="19966" t="s">
        <v>1125</v>
      </c>
      <c r="J466" s="19967" t="s">
        <v>22</v>
      </c>
      <c r="K466" s="19966" t="s">
        <v>22</v>
      </c>
      <c r="L466" s="19967" t="s">
        <v>22</v>
      </c>
      <c r="M466" s="19966" t="s">
        <v>22</v>
      </c>
      <c r="N466" s="19967" t="s">
        <v>22</v>
      </c>
      <c r="O466" s="29958" t="s">
        <v>22</v>
      </c>
      <c r="P466" s="29959" t="s">
        <v>22</v>
      </c>
      <c r="Q466" s="19966" t="s">
        <v>22</v>
      </c>
      <c r="R466" s="19967" t="s">
        <v>22</v>
      </c>
      <c r="S466" s="19968"/>
      <c r="T466" s="19960"/>
      <c r="U466" s="19960"/>
      <c r="V466" s="19960"/>
      <c r="W466" s="19960"/>
      <c r="X466" s="19960"/>
      <c r="Y466" s="19960"/>
      <c r="Z466" s="19960"/>
      <c r="AA466" s="19960"/>
      <c r="AB466" s="19960"/>
      <c r="AC466" s="19969"/>
      <c r="AD466" s="19960">
        <v>0</v>
      </c>
    </row>
    <row s="36759" customFormat="1" customHeight="1" ht="15">
      <c r="A467" s="19960"/>
      <c r="B467" s="19961"/>
      <c r="C467" s="19962"/>
      <c r="D467" s="19963" t="str">
        <f>B466&amp;".2"</f>
        <v>3.144.2</v>
      </c>
      <c r="E467" s="19964" t="s">
        <v>964</v>
      </c>
      <c r="F467" s="19965" t="s">
        <v>324</v>
      </c>
      <c r="G467" s="19680" t="s">
        <v>22</v>
      </c>
      <c r="H467" s="19967" t="s">
        <v>22</v>
      </c>
      <c r="I467" s="19680">
        <v>45427</v>
      </c>
      <c r="J467" s="19967" t="s">
        <v>22</v>
      </c>
      <c r="K467" s="19680" t="s">
        <v>22</v>
      </c>
      <c r="L467" s="19967" t="s">
        <v>22</v>
      </c>
      <c r="M467" s="19680" t="s">
        <v>22</v>
      </c>
      <c r="N467" s="19967" t="s">
        <v>22</v>
      </c>
      <c r="O467" s="29663" t="s">
        <v>22</v>
      </c>
      <c r="P467" s="29959" t="s">
        <v>22</v>
      </c>
      <c r="Q467" s="19680" t="s">
        <v>22</v>
      </c>
      <c r="R467" s="19967" t="s">
        <v>22</v>
      </c>
      <c r="S467" s="19968" t="s">
        <v>965</v>
      </c>
      <c r="T467" s="19960"/>
      <c r="U467" s="19960"/>
      <c r="V467" s="19960"/>
      <c r="W467" s="19960"/>
      <c r="X467" s="19960"/>
      <c r="Y467" s="19960"/>
      <c r="Z467" s="19960"/>
      <c r="AA467" s="19960"/>
      <c r="AB467" s="19960"/>
      <c r="AC467" s="19969"/>
      <c r="AD467" s="19960">
        <v>0</v>
      </c>
    </row>
    <row s="36760" customFormat="1" customHeight="1" ht="15">
      <c r="A468" s="19960"/>
      <c r="B468" s="19961"/>
      <c r="C468" s="19962"/>
      <c r="D468" s="19963" t="str">
        <f>B466&amp;".3"</f>
        <v>3.144.3</v>
      </c>
      <c r="E468" s="19964" t="s">
        <v>966</v>
      </c>
      <c r="F468" s="19965" t="s">
        <v>324</v>
      </c>
      <c r="G468" s="19680" t="s">
        <v>22</v>
      </c>
      <c r="H468" s="19967" t="s">
        <v>22</v>
      </c>
      <c r="I468" s="19680">
        <v>45433</v>
      </c>
      <c r="J468" s="19967" t="s">
        <v>22</v>
      </c>
      <c r="K468" s="19680" t="s">
        <v>22</v>
      </c>
      <c r="L468" s="19967" t="s">
        <v>22</v>
      </c>
      <c r="M468" s="19680" t="s">
        <v>22</v>
      </c>
      <c r="N468" s="19967" t="s">
        <v>22</v>
      </c>
      <c r="O468" s="29663" t="s">
        <v>22</v>
      </c>
      <c r="P468" s="29959" t="s">
        <v>22</v>
      </c>
      <c r="Q468" s="19680" t="s">
        <v>22</v>
      </c>
      <c r="R468" s="19967" t="s">
        <v>22</v>
      </c>
      <c r="S468" s="19968" t="s">
        <v>967</v>
      </c>
      <c r="T468" s="19960"/>
      <c r="U468" s="19960"/>
      <c r="V468" s="19960"/>
      <c r="W468" s="19960"/>
      <c r="X468" s="19960"/>
      <c r="Y468" s="19960"/>
      <c r="Z468" s="19960"/>
      <c r="AA468" s="19960"/>
      <c r="AB468" s="19960"/>
      <c r="AC468" s="19969"/>
      <c r="AD468" s="19960">
        <v>0</v>
      </c>
    </row>
    <row s="36761" customFormat="1" customHeight="1" ht="22.5">
      <c r="A469" s="19960"/>
      <c r="B469" s="19961" t="s">
        <v>1128</v>
      </c>
      <c r="C469" s="19962" t="s">
        <v>103</v>
      </c>
      <c r="D469" s="19963" t="str">
        <f>B469&amp;".1"</f>
        <v>3.145.1</v>
      </c>
      <c r="E469" s="19964" t="s">
        <v>963</v>
      </c>
      <c r="F469" s="19965" t="s">
        <v>324</v>
      </c>
      <c r="G469" s="19966" t="s">
        <v>22</v>
      </c>
      <c r="H469" s="19967" t="s">
        <v>22</v>
      </c>
      <c r="I469" s="19966" t="s">
        <v>1125</v>
      </c>
      <c r="J469" s="19967" t="s">
        <v>22</v>
      </c>
      <c r="K469" s="19966" t="s">
        <v>22</v>
      </c>
      <c r="L469" s="19967" t="s">
        <v>22</v>
      </c>
      <c r="M469" s="19966" t="s">
        <v>22</v>
      </c>
      <c r="N469" s="19967" t="s">
        <v>22</v>
      </c>
      <c r="O469" s="29958" t="s">
        <v>22</v>
      </c>
      <c r="P469" s="29959" t="s">
        <v>22</v>
      </c>
      <c r="Q469" s="19966" t="s">
        <v>22</v>
      </c>
      <c r="R469" s="19967" t="s">
        <v>22</v>
      </c>
      <c r="S469" s="19968"/>
      <c r="T469" s="19960"/>
      <c r="U469" s="19960"/>
      <c r="V469" s="19960"/>
      <c r="W469" s="19960"/>
      <c r="X469" s="19960"/>
      <c r="Y469" s="19960"/>
      <c r="Z469" s="19960"/>
      <c r="AA469" s="19960"/>
      <c r="AB469" s="19960"/>
      <c r="AC469" s="19969"/>
      <c r="AD469" s="19960">
        <v>0</v>
      </c>
    </row>
    <row s="36762" customFormat="1" customHeight="1" ht="15">
      <c r="A470" s="19960"/>
      <c r="B470" s="19961"/>
      <c r="C470" s="19962"/>
      <c r="D470" s="19963" t="str">
        <f>B469&amp;".2"</f>
        <v>3.145.2</v>
      </c>
      <c r="E470" s="19964" t="s">
        <v>964</v>
      </c>
      <c r="F470" s="19965" t="s">
        <v>324</v>
      </c>
      <c r="G470" s="19680" t="s">
        <v>22</v>
      </c>
      <c r="H470" s="19967" t="s">
        <v>22</v>
      </c>
      <c r="I470" s="19680">
        <v>45432</v>
      </c>
      <c r="J470" s="19967" t="s">
        <v>22</v>
      </c>
      <c r="K470" s="19680" t="s">
        <v>22</v>
      </c>
      <c r="L470" s="19967" t="s">
        <v>22</v>
      </c>
      <c r="M470" s="19680" t="s">
        <v>22</v>
      </c>
      <c r="N470" s="19967" t="s">
        <v>22</v>
      </c>
      <c r="O470" s="29663" t="s">
        <v>22</v>
      </c>
      <c r="P470" s="29959" t="s">
        <v>22</v>
      </c>
      <c r="Q470" s="19680" t="s">
        <v>22</v>
      </c>
      <c r="R470" s="19967" t="s">
        <v>22</v>
      </c>
      <c r="S470" s="19968" t="s">
        <v>965</v>
      </c>
      <c r="T470" s="19960"/>
      <c r="U470" s="19960"/>
      <c r="V470" s="19960"/>
      <c r="W470" s="19960"/>
      <c r="X470" s="19960"/>
      <c r="Y470" s="19960"/>
      <c r="Z470" s="19960"/>
      <c r="AA470" s="19960"/>
      <c r="AB470" s="19960"/>
      <c r="AC470" s="19969"/>
      <c r="AD470" s="19960">
        <v>0</v>
      </c>
    </row>
    <row s="36763" customFormat="1" customHeight="1" ht="15">
      <c r="A471" s="19960"/>
      <c r="B471" s="19961"/>
      <c r="C471" s="19962"/>
      <c r="D471" s="19963" t="str">
        <f>B469&amp;".3"</f>
        <v>3.145.3</v>
      </c>
      <c r="E471" s="19964" t="s">
        <v>966</v>
      </c>
      <c r="F471" s="19965" t="s">
        <v>324</v>
      </c>
      <c r="G471" s="19680" t="s">
        <v>22</v>
      </c>
      <c r="H471" s="19967" t="s">
        <v>22</v>
      </c>
      <c r="I471" s="19680">
        <v>45433</v>
      </c>
      <c r="J471" s="19967" t="s">
        <v>22</v>
      </c>
      <c r="K471" s="19680" t="s">
        <v>22</v>
      </c>
      <c r="L471" s="19967" t="s">
        <v>22</v>
      </c>
      <c r="M471" s="19680" t="s">
        <v>22</v>
      </c>
      <c r="N471" s="19967" t="s">
        <v>22</v>
      </c>
      <c r="O471" s="29663" t="s">
        <v>22</v>
      </c>
      <c r="P471" s="29959" t="s">
        <v>22</v>
      </c>
      <c r="Q471" s="19680" t="s">
        <v>22</v>
      </c>
      <c r="R471" s="19967" t="s">
        <v>22</v>
      </c>
      <c r="S471" s="19968" t="s">
        <v>967</v>
      </c>
      <c r="T471" s="19960"/>
      <c r="U471" s="19960"/>
      <c r="V471" s="19960"/>
      <c r="W471" s="19960"/>
      <c r="X471" s="19960"/>
      <c r="Y471" s="19960"/>
      <c r="Z471" s="19960"/>
      <c r="AA471" s="19960"/>
      <c r="AB471" s="19960"/>
      <c r="AC471" s="19969"/>
      <c r="AD471" s="19960">
        <v>0</v>
      </c>
    </row>
    <row s="36764" customFormat="1" customHeight="1" ht="22.5">
      <c r="A472" s="19960"/>
      <c r="B472" s="19961" t="s">
        <v>1129</v>
      </c>
      <c r="C472" s="19962" t="s">
        <v>103</v>
      </c>
      <c r="D472" s="19963" t="str">
        <f>B472&amp;".1"</f>
        <v>3.146.1</v>
      </c>
      <c r="E472" s="19964" t="s">
        <v>963</v>
      </c>
      <c r="F472" s="19965" t="s">
        <v>324</v>
      </c>
      <c r="G472" s="19966" t="s">
        <v>22</v>
      </c>
      <c r="H472" s="19967" t="s">
        <v>22</v>
      </c>
      <c r="I472" s="19966" t="s">
        <v>1130</v>
      </c>
      <c r="J472" s="19967" t="s">
        <v>22</v>
      </c>
      <c r="K472" s="19966" t="s">
        <v>22</v>
      </c>
      <c r="L472" s="19967" t="s">
        <v>22</v>
      </c>
      <c r="M472" s="19966" t="s">
        <v>22</v>
      </c>
      <c r="N472" s="19967" t="s">
        <v>22</v>
      </c>
      <c r="O472" s="29958" t="s">
        <v>22</v>
      </c>
      <c r="P472" s="29959" t="s">
        <v>22</v>
      </c>
      <c r="Q472" s="19966" t="s">
        <v>22</v>
      </c>
      <c r="R472" s="19967" t="s">
        <v>22</v>
      </c>
      <c r="S472" s="19968"/>
      <c r="T472" s="19960"/>
      <c r="U472" s="19960"/>
      <c r="V472" s="19960"/>
      <c r="W472" s="19960"/>
      <c r="X472" s="19960"/>
      <c r="Y472" s="19960"/>
      <c r="Z472" s="19960"/>
      <c r="AA472" s="19960"/>
      <c r="AB472" s="19960"/>
      <c r="AC472" s="19969"/>
      <c r="AD472" s="19960">
        <v>0</v>
      </c>
    </row>
    <row s="36765" customFormat="1" customHeight="1" ht="15">
      <c r="A473" s="19960"/>
      <c r="B473" s="19961"/>
      <c r="C473" s="19962"/>
      <c r="D473" s="19963" t="str">
        <f>B472&amp;".2"</f>
        <v>3.146.2</v>
      </c>
      <c r="E473" s="19964" t="s">
        <v>964</v>
      </c>
      <c r="F473" s="19965" t="s">
        <v>324</v>
      </c>
      <c r="G473" s="19680" t="s">
        <v>22</v>
      </c>
      <c r="H473" s="19967" t="s">
        <v>22</v>
      </c>
      <c r="I473" s="19680">
        <v>45439</v>
      </c>
      <c r="J473" s="19967" t="s">
        <v>22</v>
      </c>
      <c r="K473" s="19680" t="s">
        <v>22</v>
      </c>
      <c r="L473" s="19967" t="s">
        <v>22</v>
      </c>
      <c r="M473" s="19680" t="s">
        <v>22</v>
      </c>
      <c r="N473" s="19967" t="s">
        <v>22</v>
      </c>
      <c r="O473" s="29663" t="s">
        <v>22</v>
      </c>
      <c r="P473" s="29959" t="s">
        <v>22</v>
      </c>
      <c r="Q473" s="19680" t="s">
        <v>22</v>
      </c>
      <c r="R473" s="19967" t="s">
        <v>22</v>
      </c>
      <c r="S473" s="19968" t="s">
        <v>965</v>
      </c>
      <c r="T473" s="19960"/>
      <c r="U473" s="19960"/>
      <c r="V473" s="19960"/>
      <c r="W473" s="19960"/>
      <c r="X473" s="19960"/>
      <c r="Y473" s="19960"/>
      <c r="Z473" s="19960"/>
      <c r="AA473" s="19960"/>
      <c r="AB473" s="19960"/>
      <c r="AC473" s="19969"/>
      <c r="AD473" s="19960">
        <v>0</v>
      </c>
    </row>
    <row s="36766" customFormat="1" customHeight="1" ht="15">
      <c r="A474" s="19960"/>
      <c r="B474" s="19961"/>
      <c r="C474" s="19962"/>
      <c r="D474" s="19963" t="str">
        <f>B472&amp;".3"</f>
        <v>3.146.3</v>
      </c>
      <c r="E474" s="19964" t="s">
        <v>966</v>
      </c>
      <c r="F474" s="19965" t="s">
        <v>324</v>
      </c>
      <c r="G474" s="19680" t="s">
        <v>22</v>
      </c>
      <c r="H474" s="19967" t="s">
        <v>22</v>
      </c>
      <c r="I474" s="19680" t="s">
        <v>22</v>
      </c>
      <c r="J474" s="19967" t="s">
        <v>22</v>
      </c>
      <c r="K474" s="19680" t="s">
        <v>22</v>
      </c>
      <c r="L474" s="19967" t="s">
        <v>22</v>
      </c>
      <c r="M474" s="19680" t="s">
        <v>22</v>
      </c>
      <c r="N474" s="19967" t="s">
        <v>22</v>
      </c>
      <c r="O474" s="29663" t="s">
        <v>22</v>
      </c>
      <c r="P474" s="29959" t="s">
        <v>22</v>
      </c>
      <c r="Q474" s="19680" t="s">
        <v>22</v>
      </c>
      <c r="R474" s="19967" t="s">
        <v>22</v>
      </c>
      <c r="S474" s="19968" t="s">
        <v>967</v>
      </c>
      <c r="T474" s="19960"/>
      <c r="U474" s="19960"/>
      <c r="V474" s="19960"/>
      <c r="W474" s="19960"/>
      <c r="X474" s="19960"/>
      <c r="Y474" s="19960"/>
      <c r="Z474" s="19960"/>
      <c r="AA474" s="19960"/>
      <c r="AB474" s="19960"/>
      <c r="AC474" s="19969"/>
      <c r="AD474" s="19960">
        <v>0</v>
      </c>
    </row>
    <row s="36767" customFormat="1" customHeight="1" ht="22.5">
      <c r="A475" s="19960"/>
      <c r="B475" s="19961" t="s">
        <v>1131</v>
      </c>
      <c r="C475" s="19962" t="s">
        <v>103</v>
      </c>
      <c r="D475" s="19963" t="str">
        <f>B475&amp;".1"</f>
        <v>3.147.1</v>
      </c>
      <c r="E475" s="19964" t="s">
        <v>963</v>
      </c>
      <c r="F475" s="19965" t="s">
        <v>324</v>
      </c>
      <c r="G475" s="19966" t="s">
        <v>22</v>
      </c>
      <c r="H475" s="19967" t="s">
        <v>22</v>
      </c>
      <c r="I475" s="19966" t="s">
        <v>1130</v>
      </c>
      <c r="J475" s="19967" t="s">
        <v>22</v>
      </c>
      <c r="K475" s="19966" t="s">
        <v>22</v>
      </c>
      <c r="L475" s="19967" t="s">
        <v>22</v>
      </c>
      <c r="M475" s="19966" t="s">
        <v>22</v>
      </c>
      <c r="N475" s="19967" t="s">
        <v>22</v>
      </c>
      <c r="O475" s="29958" t="s">
        <v>22</v>
      </c>
      <c r="P475" s="29959" t="s">
        <v>22</v>
      </c>
      <c r="Q475" s="19966" t="s">
        <v>22</v>
      </c>
      <c r="R475" s="19967" t="s">
        <v>22</v>
      </c>
      <c r="S475" s="19968"/>
      <c r="T475" s="19960"/>
      <c r="U475" s="19960"/>
      <c r="V475" s="19960"/>
      <c r="W475" s="19960"/>
      <c r="X475" s="19960"/>
      <c r="Y475" s="19960"/>
      <c r="Z475" s="19960"/>
      <c r="AA475" s="19960"/>
      <c r="AB475" s="19960"/>
      <c r="AC475" s="19969"/>
      <c r="AD475" s="19960">
        <v>0</v>
      </c>
    </row>
    <row s="36768" customFormat="1" customHeight="1" ht="15">
      <c r="A476" s="19960"/>
      <c r="B476" s="19961"/>
      <c r="C476" s="19962"/>
      <c r="D476" s="19963" t="str">
        <f>B475&amp;".2"</f>
        <v>3.147.2</v>
      </c>
      <c r="E476" s="19964" t="s">
        <v>964</v>
      </c>
      <c r="F476" s="19965" t="s">
        <v>324</v>
      </c>
      <c r="G476" s="19680" t="s">
        <v>22</v>
      </c>
      <c r="H476" s="19967" t="s">
        <v>22</v>
      </c>
      <c r="I476" s="19680">
        <v>45439</v>
      </c>
      <c r="J476" s="19967" t="s">
        <v>22</v>
      </c>
      <c r="K476" s="19680" t="s">
        <v>22</v>
      </c>
      <c r="L476" s="19967" t="s">
        <v>22</v>
      </c>
      <c r="M476" s="19680" t="s">
        <v>22</v>
      </c>
      <c r="N476" s="19967" t="s">
        <v>22</v>
      </c>
      <c r="O476" s="29663" t="s">
        <v>22</v>
      </c>
      <c r="P476" s="29959" t="s">
        <v>22</v>
      </c>
      <c r="Q476" s="19680" t="s">
        <v>22</v>
      </c>
      <c r="R476" s="19967" t="s">
        <v>22</v>
      </c>
      <c r="S476" s="19968" t="s">
        <v>965</v>
      </c>
      <c r="T476" s="19960"/>
      <c r="U476" s="19960"/>
      <c r="V476" s="19960"/>
      <c r="W476" s="19960"/>
      <c r="X476" s="19960"/>
      <c r="Y476" s="19960"/>
      <c r="Z476" s="19960"/>
      <c r="AA476" s="19960"/>
      <c r="AB476" s="19960"/>
      <c r="AC476" s="19969"/>
      <c r="AD476" s="19960">
        <v>0</v>
      </c>
    </row>
    <row s="36769" customFormat="1" customHeight="1" ht="15">
      <c r="A477" s="19960"/>
      <c r="B477" s="19961"/>
      <c r="C477" s="19962"/>
      <c r="D477" s="19963" t="str">
        <f>B475&amp;".3"</f>
        <v>3.147.3</v>
      </c>
      <c r="E477" s="19964" t="s">
        <v>966</v>
      </c>
      <c r="F477" s="19965" t="s">
        <v>324</v>
      </c>
      <c r="G477" s="19680" t="s">
        <v>22</v>
      </c>
      <c r="H477" s="19967" t="s">
        <v>22</v>
      </c>
      <c r="I477" s="33071" t="s">
        <v>22</v>
      </c>
      <c r="J477" s="19967" t="s">
        <v>22</v>
      </c>
      <c r="K477" s="19680" t="s">
        <v>22</v>
      </c>
      <c r="L477" s="19967" t="s">
        <v>22</v>
      </c>
      <c r="M477" s="19680" t="s">
        <v>22</v>
      </c>
      <c r="N477" s="19967" t="s">
        <v>22</v>
      </c>
      <c r="O477" s="29663" t="s">
        <v>22</v>
      </c>
      <c r="P477" s="29959" t="s">
        <v>22</v>
      </c>
      <c r="Q477" s="19680" t="s">
        <v>22</v>
      </c>
      <c r="R477" s="19967" t="s">
        <v>22</v>
      </c>
      <c r="S477" s="19968" t="s">
        <v>967</v>
      </c>
      <c r="T477" s="19960"/>
      <c r="U477" s="19960"/>
      <c r="V477" s="19960"/>
      <c r="W477" s="19960"/>
      <c r="X477" s="19960"/>
      <c r="Y477" s="19960"/>
      <c r="Z477" s="19960"/>
      <c r="AA477" s="19960"/>
      <c r="AB477" s="19960"/>
      <c r="AC477" s="19969"/>
      <c r="AD477" s="19960">
        <v>0</v>
      </c>
    </row>
    <row s="36770" customFormat="1" customHeight="1" ht="22.5">
      <c r="A478" s="19960"/>
      <c r="B478" s="19961" t="s">
        <v>1132</v>
      </c>
      <c r="C478" s="19962" t="s">
        <v>103</v>
      </c>
      <c r="D478" s="19963" t="str">
        <f>B478&amp;".1"</f>
        <v>3.148.1</v>
      </c>
      <c r="E478" s="19964" t="s">
        <v>963</v>
      </c>
      <c r="F478" s="19965" t="s">
        <v>324</v>
      </c>
      <c r="G478" s="19966" t="s">
        <v>22</v>
      </c>
      <c r="H478" s="19967" t="s">
        <v>22</v>
      </c>
      <c r="I478" s="19966" t="s">
        <v>1130</v>
      </c>
      <c r="J478" s="19967" t="s">
        <v>22</v>
      </c>
      <c r="K478" s="19966" t="s">
        <v>22</v>
      </c>
      <c r="L478" s="19967" t="s">
        <v>22</v>
      </c>
      <c r="M478" s="19966" t="s">
        <v>22</v>
      </c>
      <c r="N478" s="19967" t="s">
        <v>22</v>
      </c>
      <c r="O478" s="29958" t="s">
        <v>22</v>
      </c>
      <c r="P478" s="29959" t="s">
        <v>22</v>
      </c>
      <c r="Q478" s="19966" t="s">
        <v>22</v>
      </c>
      <c r="R478" s="19967" t="s">
        <v>22</v>
      </c>
      <c r="S478" s="19968"/>
      <c r="T478" s="19960"/>
      <c r="U478" s="19960"/>
      <c r="V478" s="19960"/>
      <c r="W478" s="19960"/>
      <c r="X478" s="19960"/>
      <c r="Y478" s="19960"/>
      <c r="Z478" s="19960"/>
      <c r="AA478" s="19960"/>
      <c r="AB478" s="19960"/>
      <c r="AC478" s="19969"/>
      <c r="AD478" s="19960">
        <v>0</v>
      </c>
    </row>
    <row s="36771" customFormat="1" customHeight="1" ht="15">
      <c r="A479" s="19960"/>
      <c r="B479" s="19961"/>
      <c r="C479" s="19962"/>
      <c r="D479" s="19963" t="str">
        <f>B478&amp;".2"</f>
        <v>3.148.2</v>
      </c>
      <c r="E479" s="19964" t="s">
        <v>964</v>
      </c>
      <c r="F479" s="19965" t="s">
        <v>324</v>
      </c>
      <c r="G479" s="19680" t="s">
        <v>22</v>
      </c>
      <c r="H479" s="19967" t="s">
        <v>22</v>
      </c>
      <c r="I479" s="19680">
        <v>45439</v>
      </c>
      <c r="J479" s="19967" t="s">
        <v>22</v>
      </c>
      <c r="K479" s="19680" t="s">
        <v>22</v>
      </c>
      <c r="L479" s="19967" t="s">
        <v>22</v>
      </c>
      <c r="M479" s="19680" t="s">
        <v>22</v>
      </c>
      <c r="N479" s="19967" t="s">
        <v>22</v>
      </c>
      <c r="O479" s="29663" t="s">
        <v>22</v>
      </c>
      <c r="P479" s="29959" t="s">
        <v>22</v>
      </c>
      <c r="Q479" s="19680" t="s">
        <v>22</v>
      </c>
      <c r="R479" s="19967" t="s">
        <v>22</v>
      </c>
      <c r="S479" s="19968" t="s">
        <v>965</v>
      </c>
      <c r="T479" s="19960"/>
      <c r="U479" s="19960"/>
      <c r="V479" s="19960"/>
      <c r="W479" s="19960"/>
      <c r="X479" s="19960"/>
      <c r="Y479" s="19960"/>
      <c r="Z479" s="19960"/>
      <c r="AA479" s="19960"/>
      <c r="AB479" s="19960"/>
      <c r="AC479" s="19969"/>
      <c r="AD479" s="19960">
        <v>0</v>
      </c>
    </row>
    <row s="36772" customFormat="1" customHeight="1" ht="15">
      <c r="A480" s="19960"/>
      <c r="B480" s="19961"/>
      <c r="C480" s="19962"/>
      <c r="D480" s="19963" t="str">
        <f>B478&amp;".3"</f>
        <v>3.148.3</v>
      </c>
      <c r="E480" s="19964" t="s">
        <v>966</v>
      </c>
      <c r="F480" s="19965" t="s">
        <v>324</v>
      </c>
      <c r="G480" s="19680" t="s">
        <v>22</v>
      </c>
      <c r="H480" s="19967" t="s">
        <v>22</v>
      </c>
      <c r="I480" s="19680" t="s">
        <v>22</v>
      </c>
      <c r="J480" s="19967" t="s">
        <v>22</v>
      </c>
      <c r="K480" s="19680" t="s">
        <v>22</v>
      </c>
      <c r="L480" s="19967" t="s">
        <v>22</v>
      </c>
      <c r="M480" s="19680" t="s">
        <v>22</v>
      </c>
      <c r="N480" s="19967" t="s">
        <v>22</v>
      </c>
      <c r="O480" s="29663" t="s">
        <v>22</v>
      </c>
      <c r="P480" s="29959" t="s">
        <v>22</v>
      </c>
      <c r="Q480" s="19680" t="s">
        <v>22</v>
      </c>
      <c r="R480" s="19967" t="s">
        <v>22</v>
      </c>
      <c r="S480" s="19968" t="s">
        <v>967</v>
      </c>
      <c r="T480" s="19960"/>
      <c r="U480" s="19960"/>
      <c r="V480" s="19960"/>
      <c r="W480" s="19960"/>
      <c r="X480" s="19960"/>
      <c r="Y480" s="19960"/>
      <c r="Z480" s="19960"/>
      <c r="AA480" s="19960"/>
      <c r="AB480" s="19960"/>
      <c r="AC480" s="19969"/>
      <c r="AD480" s="19960">
        <v>0</v>
      </c>
    </row>
    <row s="36773" customFormat="1" customHeight="1" ht="22.5">
      <c r="A481" s="19960"/>
      <c r="B481" s="19961" t="s">
        <v>1133</v>
      </c>
      <c r="C481" s="19962" t="s">
        <v>103</v>
      </c>
      <c r="D481" s="19963" t="str">
        <f>B481&amp;".1"</f>
        <v>3.149.1</v>
      </c>
      <c r="E481" s="19964" t="s">
        <v>963</v>
      </c>
      <c r="F481" s="19965" t="s">
        <v>324</v>
      </c>
      <c r="G481" s="19966" t="s">
        <v>22</v>
      </c>
      <c r="H481" s="19967" t="s">
        <v>22</v>
      </c>
      <c r="I481" s="19966" t="s">
        <v>1130</v>
      </c>
      <c r="J481" s="19967" t="s">
        <v>22</v>
      </c>
      <c r="K481" s="19966" t="s">
        <v>22</v>
      </c>
      <c r="L481" s="19967" t="s">
        <v>22</v>
      </c>
      <c r="M481" s="19966" t="s">
        <v>22</v>
      </c>
      <c r="N481" s="19967" t="s">
        <v>22</v>
      </c>
      <c r="O481" s="29958" t="s">
        <v>22</v>
      </c>
      <c r="P481" s="29959" t="s">
        <v>22</v>
      </c>
      <c r="Q481" s="19966" t="s">
        <v>22</v>
      </c>
      <c r="R481" s="19967" t="s">
        <v>22</v>
      </c>
      <c r="S481" s="19968"/>
      <c r="T481" s="19960"/>
      <c r="U481" s="19960"/>
      <c r="V481" s="19960"/>
      <c r="W481" s="19960"/>
      <c r="X481" s="19960"/>
      <c r="Y481" s="19960"/>
      <c r="Z481" s="19960"/>
      <c r="AA481" s="19960"/>
      <c r="AB481" s="19960"/>
      <c r="AC481" s="19969"/>
      <c r="AD481" s="19960">
        <v>0</v>
      </c>
    </row>
    <row s="36774" customFormat="1" customHeight="1" ht="15">
      <c r="A482" s="19960"/>
      <c r="B482" s="19961"/>
      <c r="C482" s="19962"/>
      <c r="D482" s="19963" t="str">
        <f>B481&amp;".2"</f>
        <v>3.149.2</v>
      </c>
      <c r="E482" s="19964" t="s">
        <v>964</v>
      </c>
      <c r="F482" s="19965" t="s">
        <v>324</v>
      </c>
      <c r="G482" s="19680" t="s">
        <v>22</v>
      </c>
      <c r="H482" s="19967" t="s">
        <v>22</v>
      </c>
      <c r="I482" s="19680">
        <v>45450</v>
      </c>
      <c r="J482" s="19967" t="s">
        <v>22</v>
      </c>
      <c r="K482" s="19680" t="s">
        <v>22</v>
      </c>
      <c r="L482" s="19967" t="s">
        <v>22</v>
      </c>
      <c r="M482" s="19680" t="s">
        <v>22</v>
      </c>
      <c r="N482" s="19967" t="s">
        <v>22</v>
      </c>
      <c r="O482" s="29663" t="s">
        <v>22</v>
      </c>
      <c r="P482" s="29959" t="s">
        <v>22</v>
      </c>
      <c r="Q482" s="19680" t="s">
        <v>22</v>
      </c>
      <c r="R482" s="19967" t="s">
        <v>22</v>
      </c>
      <c r="S482" s="19968" t="s">
        <v>965</v>
      </c>
      <c r="T482" s="19960"/>
      <c r="U482" s="19960"/>
      <c r="V482" s="19960"/>
      <c r="W482" s="19960"/>
      <c r="X482" s="19960"/>
      <c r="Y482" s="19960"/>
      <c r="Z482" s="19960"/>
      <c r="AA482" s="19960"/>
      <c r="AB482" s="19960"/>
      <c r="AC482" s="19969"/>
      <c r="AD482" s="19960">
        <v>0</v>
      </c>
    </row>
    <row s="36775" customFormat="1" customHeight="1" ht="15">
      <c r="A483" s="19960"/>
      <c r="B483" s="19961"/>
      <c r="C483" s="19962"/>
      <c r="D483" s="19963" t="str">
        <f>B481&amp;".3"</f>
        <v>3.149.3</v>
      </c>
      <c r="E483" s="19964" t="s">
        <v>966</v>
      </c>
      <c r="F483" s="19965" t="s">
        <v>324</v>
      </c>
      <c r="G483" s="19680" t="s">
        <v>22</v>
      </c>
      <c r="H483" s="19967" t="s">
        <v>22</v>
      </c>
      <c r="I483" s="19680" t="s">
        <v>22</v>
      </c>
      <c r="J483" s="19967" t="s">
        <v>22</v>
      </c>
      <c r="K483" s="19680" t="s">
        <v>22</v>
      </c>
      <c r="L483" s="19967" t="s">
        <v>22</v>
      </c>
      <c r="M483" s="19680" t="s">
        <v>22</v>
      </c>
      <c r="N483" s="19967" t="s">
        <v>22</v>
      </c>
      <c r="O483" s="29663" t="s">
        <v>22</v>
      </c>
      <c r="P483" s="29959" t="s">
        <v>22</v>
      </c>
      <c r="Q483" s="19680" t="s">
        <v>22</v>
      </c>
      <c r="R483" s="19967" t="s">
        <v>22</v>
      </c>
      <c r="S483" s="19968" t="s">
        <v>967</v>
      </c>
      <c r="T483" s="19960"/>
      <c r="U483" s="19960"/>
      <c r="V483" s="19960"/>
      <c r="W483" s="19960"/>
      <c r="X483" s="19960"/>
      <c r="Y483" s="19960"/>
      <c r="Z483" s="19960"/>
      <c r="AA483" s="19960"/>
      <c r="AB483" s="19960"/>
      <c r="AC483" s="19969"/>
      <c r="AD483" s="19960">
        <v>0</v>
      </c>
    </row>
    <row s="36776" customFormat="1" customHeight="1" ht="22.5">
      <c r="A484" s="19960"/>
      <c r="B484" s="19961" t="s">
        <v>1134</v>
      </c>
      <c r="C484" s="19962" t="s">
        <v>103</v>
      </c>
      <c r="D484" s="19963" t="str">
        <f>B484&amp;".1"</f>
        <v>3.150.1</v>
      </c>
      <c r="E484" s="19964" t="s">
        <v>963</v>
      </c>
      <c r="F484" s="19965" t="s">
        <v>324</v>
      </c>
      <c r="G484" s="19966" t="s">
        <v>22</v>
      </c>
      <c r="H484" s="19967" t="s">
        <v>22</v>
      </c>
      <c r="I484" s="19966" t="s">
        <v>1130</v>
      </c>
      <c r="J484" s="19967" t="s">
        <v>22</v>
      </c>
      <c r="K484" s="19966" t="s">
        <v>22</v>
      </c>
      <c r="L484" s="19967" t="s">
        <v>22</v>
      </c>
      <c r="M484" s="19966" t="s">
        <v>22</v>
      </c>
      <c r="N484" s="19967" t="s">
        <v>22</v>
      </c>
      <c r="O484" s="29958" t="s">
        <v>22</v>
      </c>
      <c r="P484" s="29959" t="s">
        <v>22</v>
      </c>
      <c r="Q484" s="19966" t="s">
        <v>22</v>
      </c>
      <c r="R484" s="19967" t="s">
        <v>22</v>
      </c>
      <c r="S484" s="19968"/>
      <c r="T484" s="19960"/>
      <c r="U484" s="19960"/>
      <c r="V484" s="19960"/>
      <c r="W484" s="19960"/>
      <c r="X484" s="19960"/>
      <c r="Y484" s="19960"/>
      <c r="Z484" s="19960"/>
      <c r="AA484" s="19960"/>
      <c r="AB484" s="19960"/>
      <c r="AC484" s="19969"/>
      <c r="AD484" s="19960">
        <v>0</v>
      </c>
    </row>
    <row s="36777" customFormat="1" customHeight="1" ht="15">
      <c r="A485" s="19960"/>
      <c r="B485" s="19961"/>
      <c r="C485" s="19962"/>
      <c r="D485" s="19963" t="str">
        <f>B484&amp;".2"</f>
        <v>3.150.2</v>
      </c>
      <c r="E485" s="19964" t="s">
        <v>964</v>
      </c>
      <c r="F485" s="19965" t="s">
        <v>324</v>
      </c>
      <c r="G485" s="19680" t="s">
        <v>22</v>
      </c>
      <c r="H485" s="19967" t="s">
        <v>22</v>
      </c>
      <c r="I485" s="19680">
        <v>45453</v>
      </c>
      <c r="J485" s="19967" t="s">
        <v>22</v>
      </c>
      <c r="K485" s="19680" t="s">
        <v>22</v>
      </c>
      <c r="L485" s="19967" t="s">
        <v>22</v>
      </c>
      <c r="M485" s="19680" t="s">
        <v>22</v>
      </c>
      <c r="N485" s="19967" t="s">
        <v>22</v>
      </c>
      <c r="O485" s="29663" t="s">
        <v>22</v>
      </c>
      <c r="P485" s="29959" t="s">
        <v>22</v>
      </c>
      <c r="Q485" s="19680" t="s">
        <v>22</v>
      </c>
      <c r="R485" s="19967" t="s">
        <v>22</v>
      </c>
      <c r="S485" s="19968" t="s">
        <v>965</v>
      </c>
      <c r="T485" s="19960"/>
      <c r="U485" s="19960"/>
      <c r="V485" s="19960"/>
      <c r="W485" s="19960"/>
      <c r="X485" s="19960"/>
      <c r="Y485" s="19960"/>
      <c r="Z485" s="19960"/>
      <c r="AA485" s="19960"/>
      <c r="AB485" s="19960"/>
      <c r="AC485" s="19969"/>
      <c r="AD485" s="19960">
        <v>0</v>
      </c>
    </row>
    <row s="36778" customFormat="1" customHeight="1" ht="15">
      <c r="A486" s="19960"/>
      <c r="B486" s="19961"/>
      <c r="C486" s="19962"/>
      <c r="D486" s="19963" t="str">
        <f>B484&amp;".3"</f>
        <v>3.150.3</v>
      </c>
      <c r="E486" s="19964" t="s">
        <v>966</v>
      </c>
      <c r="F486" s="19965" t="s">
        <v>324</v>
      </c>
      <c r="G486" s="19680" t="s">
        <v>22</v>
      </c>
      <c r="H486" s="19967" t="s">
        <v>22</v>
      </c>
      <c r="I486" s="19680">
        <v>45470</v>
      </c>
      <c r="J486" s="19967" t="s">
        <v>22</v>
      </c>
      <c r="K486" s="19680" t="s">
        <v>22</v>
      </c>
      <c r="L486" s="19967" t="s">
        <v>22</v>
      </c>
      <c r="M486" s="19680" t="s">
        <v>22</v>
      </c>
      <c r="N486" s="19967" t="s">
        <v>22</v>
      </c>
      <c r="O486" s="29663" t="s">
        <v>22</v>
      </c>
      <c r="P486" s="29959" t="s">
        <v>22</v>
      </c>
      <c r="Q486" s="19680" t="s">
        <v>22</v>
      </c>
      <c r="R486" s="19967" t="s">
        <v>22</v>
      </c>
      <c r="S486" s="19968" t="s">
        <v>967</v>
      </c>
      <c r="T486" s="19960"/>
      <c r="U486" s="19960"/>
      <c r="V486" s="19960"/>
      <c r="W486" s="19960"/>
      <c r="X486" s="19960"/>
      <c r="Y486" s="19960"/>
      <c r="Z486" s="19960"/>
      <c r="AA486" s="19960"/>
      <c r="AB486" s="19960"/>
      <c r="AC486" s="19969"/>
      <c r="AD486" s="19960">
        <v>0</v>
      </c>
    </row>
    <row s="36779" customFormat="1" customHeight="1" ht="22.5">
      <c r="A487" s="19960"/>
      <c r="B487" s="19961" t="s">
        <v>1135</v>
      </c>
      <c r="C487" s="19962" t="s">
        <v>103</v>
      </c>
      <c r="D487" s="19963" t="str">
        <f>B487&amp;".1"</f>
        <v>3.151.1</v>
      </c>
      <c r="E487" s="19964" t="s">
        <v>963</v>
      </c>
      <c r="F487" s="19965" t="s">
        <v>324</v>
      </c>
      <c r="G487" s="19966" t="s">
        <v>22</v>
      </c>
      <c r="H487" s="19967" t="s">
        <v>22</v>
      </c>
      <c r="I487" s="19966" t="s">
        <v>1136</v>
      </c>
      <c r="J487" s="19967" t="s">
        <v>22</v>
      </c>
      <c r="K487" s="19966" t="s">
        <v>22</v>
      </c>
      <c r="L487" s="19967" t="s">
        <v>22</v>
      </c>
      <c r="M487" s="19966" t="s">
        <v>22</v>
      </c>
      <c r="N487" s="19967" t="s">
        <v>22</v>
      </c>
      <c r="O487" s="29958" t="s">
        <v>22</v>
      </c>
      <c r="P487" s="29959" t="s">
        <v>22</v>
      </c>
      <c r="Q487" s="19966" t="s">
        <v>22</v>
      </c>
      <c r="R487" s="19967" t="s">
        <v>22</v>
      </c>
      <c r="S487" s="19968"/>
      <c r="T487" s="19960"/>
      <c r="U487" s="19960"/>
      <c r="V487" s="19960"/>
      <c r="W487" s="19960"/>
      <c r="X487" s="19960"/>
      <c r="Y487" s="19960"/>
      <c r="Z487" s="19960"/>
      <c r="AA487" s="19960"/>
      <c r="AB487" s="19960"/>
      <c r="AC487" s="19969"/>
      <c r="AD487" s="19960">
        <v>0</v>
      </c>
    </row>
    <row s="36780" customFormat="1" customHeight="1" ht="15">
      <c r="A488" s="19960"/>
      <c r="B488" s="19961"/>
      <c r="C488" s="19962"/>
      <c r="D488" s="19963" t="str">
        <f>B487&amp;".2"</f>
        <v>3.151.2</v>
      </c>
      <c r="E488" s="19964" t="s">
        <v>964</v>
      </c>
      <c r="F488" s="19965" t="s">
        <v>324</v>
      </c>
      <c r="G488" s="19680" t="s">
        <v>22</v>
      </c>
      <c r="H488" s="19967" t="s">
        <v>22</v>
      </c>
      <c r="I488" s="19680">
        <v>45457</v>
      </c>
      <c r="J488" s="19967" t="s">
        <v>22</v>
      </c>
      <c r="K488" s="19680" t="s">
        <v>22</v>
      </c>
      <c r="L488" s="19967" t="s">
        <v>22</v>
      </c>
      <c r="M488" s="19680" t="s">
        <v>22</v>
      </c>
      <c r="N488" s="19967" t="s">
        <v>22</v>
      </c>
      <c r="O488" s="29663" t="s">
        <v>22</v>
      </c>
      <c r="P488" s="29959" t="s">
        <v>22</v>
      </c>
      <c r="Q488" s="19680" t="s">
        <v>22</v>
      </c>
      <c r="R488" s="19967" t="s">
        <v>22</v>
      </c>
      <c r="S488" s="19968" t="s">
        <v>965</v>
      </c>
      <c r="T488" s="19960"/>
      <c r="U488" s="19960"/>
      <c r="V488" s="19960"/>
      <c r="W488" s="19960"/>
      <c r="X488" s="19960"/>
      <c r="Y488" s="19960"/>
      <c r="Z488" s="19960"/>
      <c r="AA488" s="19960"/>
      <c r="AB488" s="19960"/>
      <c r="AC488" s="19969"/>
      <c r="AD488" s="19960">
        <v>0</v>
      </c>
    </row>
    <row s="36781" customFormat="1" customHeight="1" ht="15">
      <c r="A489" s="19960"/>
      <c r="B489" s="19961"/>
      <c r="C489" s="19962"/>
      <c r="D489" s="19963" t="str">
        <f>B487&amp;".3"</f>
        <v>3.151.3</v>
      </c>
      <c r="E489" s="19964" t="s">
        <v>966</v>
      </c>
      <c r="F489" s="19965" t="s">
        <v>324</v>
      </c>
      <c r="G489" s="19680" t="s">
        <v>22</v>
      </c>
      <c r="H489" s="19967" t="s">
        <v>22</v>
      </c>
      <c r="I489" s="19680">
        <v>45461</v>
      </c>
      <c r="J489" s="19967" t="s">
        <v>22</v>
      </c>
      <c r="K489" s="19680" t="s">
        <v>22</v>
      </c>
      <c r="L489" s="19967" t="s">
        <v>22</v>
      </c>
      <c r="M489" s="19680" t="s">
        <v>22</v>
      </c>
      <c r="N489" s="19967" t="s">
        <v>22</v>
      </c>
      <c r="O489" s="29663" t="s">
        <v>22</v>
      </c>
      <c r="P489" s="29959" t="s">
        <v>22</v>
      </c>
      <c r="Q489" s="19680" t="s">
        <v>22</v>
      </c>
      <c r="R489" s="19967" t="s">
        <v>22</v>
      </c>
      <c r="S489" s="19968" t="s">
        <v>967</v>
      </c>
      <c r="T489" s="19960"/>
      <c r="U489" s="19960"/>
      <c r="V489" s="19960"/>
      <c r="W489" s="19960"/>
      <c r="X489" s="19960"/>
      <c r="Y489" s="19960"/>
      <c r="Z489" s="19960"/>
      <c r="AA489" s="19960"/>
      <c r="AB489" s="19960"/>
      <c r="AC489" s="19969"/>
      <c r="AD489" s="19960">
        <v>0</v>
      </c>
    </row>
    <row s="36782" customFormat="1" customHeight="1" ht="22.5">
      <c r="A490" s="19960"/>
      <c r="B490" s="19961" t="s">
        <v>1137</v>
      </c>
      <c r="C490" s="19962" t="s">
        <v>103</v>
      </c>
      <c r="D490" s="19963" t="str">
        <f>B490&amp;".1"</f>
        <v>3.152.1</v>
      </c>
      <c r="E490" s="19964" t="s">
        <v>963</v>
      </c>
      <c r="F490" s="19965" t="s">
        <v>324</v>
      </c>
      <c r="G490" s="19966" t="s">
        <v>22</v>
      </c>
      <c r="H490" s="19967" t="s">
        <v>22</v>
      </c>
      <c r="I490" s="19966" t="s">
        <v>1130</v>
      </c>
      <c r="J490" s="19967" t="s">
        <v>22</v>
      </c>
      <c r="K490" s="19966" t="s">
        <v>22</v>
      </c>
      <c r="L490" s="19967" t="s">
        <v>22</v>
      </c>
      <c r="M490" s="19966" t="s">
        <v>22</v>
      </c>
      <c r="N490" s="19967" t="s">
        <v>22</v>
      </c>
      <c r="O490" s="29958" t="s">
        <v>22</v>
      </c>
      <c r="P490" s="29959" t="s">
        <v>22</v>
      </c>
      <c r="Q490" s="19966" t="s">
        <v>22</v>
      </c>
      <c r="R490" s="19967" t="s">
        <v>22</v>
      </c>
      <c r="S490" s="19968"/>
      <c r="T490" s="19960"/>
      <c r="U490" s="19960"/>
      <c r="V490" s="19960"/>
      <c r="W490" s="19960"/>
      <c r="X490" s="19960"/>
      <c r="Y490" s="19960"/>
      <c r="Z490" s="19960"/>
      <c r="AA490" s="19960"/>
      <c r="AB490" s="19960"/>
      <c r="AC490" s="19969"/>
      <c r="AD490" s="19960">
        <v>0</v>
      </c>
    </row>
    <row s="36783" customFormat="1" customHeight="1" ht="15">
      <c r="A491" s="19960"/>
      <c r="B491" s="19961"/>
      <c r="C491" s="19962"/>
      <c r="D491" s="19963" t="str">
        <f>B490&amp;".2"</f>
        <v>3.152.2</v>
      </c>
      <c r="E491" s="19964" t="s">
        <v>964</v>
      </c>
      <c r="F491" s="19965" t="s">
        <v>324</v>
      </c>
      <c r="G491" s="19680" t="s">
        <v>22</v>
      </c>
      <c r="H491" s="19967" t="s">
        <v>22</v>
      </c>
      <c r="I491" s="33071">
        <v>45463</v>
      </c>
      <c r="J491" s="19967" t="s">
        <v>22</v>
      </c>
      <c r="K491" s="19680" t="s">
        <v>22</v>
      </c>
      <c r="L491" s="19967" t="s">
        <v>22</v>
      </c>
      <c r="M491" s="19680" t="s">
        <v>22</v>
      </c>
      <c r="N491" s="19967" t="s">
        <v>22</v>
      </c>
      <c r="O491" s="29663" t="s">
        <v>22</v>
      </c>
      <c r="P491" s="29959" t="s">
        <v>22</v>
      </c>
      <c r="Q491" s="19680" t="s">
        <v>22</v>
      </c>
      <c r="R491" s="19967" t="s">
        <v>22</v>
      </c>
      <c r="S491" s="19968" t="s">
        <v>965</v>
      </c>
      <c r="T491" s="19960"/>
      <c r="U491" s="19960"/>
      <c r="V491" s="19960"/>
      <c r="W491" s="19960"/>
      <c r="X491" s="19960"/>
      <c r="Y491" s="19960"/>
      <c r="Z491" s="19960"/>
      <c r="AA491" s="19960"/>
      <c r="AB491" s="19960"/>
      <c r="AC491" s="19969"/>
      <c r="AD491" s="19960">
        <v>0</v>
      </c>
    </row>
    <row s="36784" customFormat="1" customHeight="1" ht="15">
      <c r="A492" s="19960"/>
      <c r="B492" s="19961"/>
      <c r="C492" s="19962"/>
      <c r="D492" s="19963" t="str">
        <f>B490&amp;".3"</f>
        <v>3.152.3</v>
      </c>
      <c r="E492" s="19964" t="s">
        <v>966</v>
      </c>
      <c r="F492" s="19965" t="s">
        <v>324</v>
      </c>
      <c r="G492" s="19680" t="s">
        <v>22</v>
      </c>
      <c r="H492" s="19967" t="s">
        <v>22</v>
      </c>
      <c r="I492" s="19680" t="s">
        <v>22</v>
      </c>
      <c r="J492" s="19967" t="s">
        <v>22</v>
      </c>
      <c r="K492" s="19680" t="s">
        <v>22</v>
      </c>
      <c r="L492" s="19967" t="s">
        <v>22</v>
      </c>
      <c r="M492" s="19680" t="s">
        <v>22</v>
      </c>
      <c r="N492" s="19967" t="s">
        <v>22</v>
      </c>
      <c r="O492" s="29663" t="s">
        <v>22</v>
      </c>
      <c r="P492" s="29959" t="s">
        <v>22</v>
      </c>
      <c r="Q492" s="19680" t="s">
        <v>22</v>
      </c>
      <c r="R492" s="19967" t="s">
        <v>22</v>
      </c>
      <c r="S492" s="19968" t="s">
        <v>967</v>
      </c>
      <c r="T492" s="19960"/>
      <c r="U492" s="19960"/>
      <c r="V492" s="19960"/>
      <c r="W492" s="19960"/>
      <c r="X492" s="19960"/>
      <c r="Y492" s="19960"/>
      <c r="Z492" s="19960"/>
      <c r="AA492" s="19960"/>
      <c r="AB492" s="19960"/>
      <c r="AC492" s="19969"/>
      <c r="AD492" s="19960">
        <v>0</v>
      </c>
    </row>
    <row s="36785" customFormat="1" customHeight="1" ht="22.5">
      <c r="A493" s="19960"/>
      <c r="B493" s="19961" t="s">
        <v>1138</v>
      </c>
      <c r="C493" s="19962" t="s">
        <v>103</v>
      </c>
      <c r="D493" s="19963" t="str">
        <f>B493&amp;".1"</f>
        <v>3.153.1</v>
      </c>
      <c r="E493" s="19964" t="s">
        <v>963</v>
      </c>
      <c r="F493" s="19965" t="s">
        <v>324</v>
      </c>
      <c r="G493" s="19966" t="s">
        <v>22</v>
      </c>
      <c r="H493" s="19967" t="s">
        <v>22</v>
      </c>
      <c r="I493" s="19966" t="s">
        <v>1130</v>
      </c>
      <c r="J493" s="19967" t="s">
        <v>22</v>
      </c>
      <c r="K493" s="19966" t="s">
        <v>22</v>
      </c>
      <c r="L493" s="19967" t="s">
        <v>22</v>
      </c>
      <c r="M493" s="19966" t="s">
        <v>22</v>
      </c>
      <c r="N493" s="19967" t="s">
        <v>22</v>
      </c>
      <c r="O493" s="29958" t="s">
        <v>22</v>
      </c>
      <c r="P493" s="29959" t="s">
        <v>22</v>
      </c>
      <c r="Q493" s="19966" t="s">
        <v>22</v>
      </c>
      <c r="R493" s="19967" t="s">
        <v>22</v>
      </c>
      <c r="S493" s="19968"/>
      <c r="T493" s="19960"/>
      <c r="U493" s="19960"/>
      <c r="V493" s="19960"/>
      <c r="W493" s="19960"/>
      <c r="X493" s="19960"/>
      <c r="Y493" s="19960"/>
      <c r="Z493" s="19960"/>
      <c r="AA493" s="19960"/>
      <c r="AB493" s="19960"/>
      <c r="AC493" s="19969"/>
      <c r="AD493" s="19960">
        <v>0</v>
      </c>
    </row>
    <row s="36786" customFormat="1" customHeight="1" ht="15">
      <c r="A494" s="19960"/>
      <c r="B494" s="19961"/>
      <c r="C494" s="19962"/>
      <c r="D494" s="19963" t="str">
        <f>B493&amp;".2"</f>
        <v>3.153.2</v>
      </c>
      <c r="E494" s="19964" t="s">
        <v>964</v>
      </c>
      <c r="F494" s="19965" t="s">
        <v>324</v>
      </c>
      <c r="G494" s="19680" t="s">
        <v>22</v>
      </c>
      <c r="H494" s="19967" t="s">
        <v>22</v>
      </c>
      <c r="I494" s="19680">
        <v>45464</v>
      </c>
      <c r="J494" s="19967" t="s">
        <v>22</v>
      </c>
      <c r="K494" s="19680" t="s">
        <v>22</v>
      </c>
      <c r="L494" s="19967" t="s">
        <v>22</v>
      </c>
      <c r="M494" s="19680" t="s">
        <v>22</v>
      </c>
      <c r="N494" s="19967" t="s">
        <v>22</v>
      </c>
      <c r="O494" s="29663" t="s">
        <v>22</v>
      </c>
      <c r="P494" s="29959" t="s">
        <v>22</v>
      </c>
      <c r="Q494" s="19680" t="s">
        <v>22</v>
      </c>
      <c r="R494" s="19967" t="s">
        <v>22</v>
      </c>
      <c r="S494" s="19968" t="s">
        <v>965</v>
      </c>
      <c r="T494" s="19960"/>
      <c r="U494" s="19960"/>
      <c r="V494" s="19960"/>
      <c r="W494" s="19960"/>
      <c r="X494" s="19960"/>
      <c r="Y494" s="19960"/>
      <c r="Z494" s="19960"/>
      <c r="AA494" s="19960"/>
      <c r="AB494" s="19960"/>
      <c r="AC494" s="19969"/>
      <c r="AD494" s="19960">
        <v>0</v>
      </c>
    </row>
    <row s="36787" customFormat="1" customHeight="1" ht="15">
      <c r="A495" s="19960"/>
      <c r="B495" s="19961"/>
      <c r="C495" s="19962"/>
      <c r="D495" s="19963" t="str">
        <f>B493&amp;".3"</f>
        <v>3.153.3</v>
      </c>
      <c r="E495" s="19964" t="s">
        <v>966</v>
      </c>
      <c r="F495" s="19965" t="s">
        <v>324</v>
      </c>
      <c r="G495" s="19680" t="s">
        <v>22</v>
      </c>
      <c r="H495" s="19967" t="s">
        <v>22</v>
      </c>
      <c r="I495" s="19680" t="s">
        <v>22</v>
      </c>
      <c r="J495" s="19967" t="s">
        <v>22</v>
      </c>
      <c r="K495" s="19680" t="s">
        <v>22</v>
      </c>
      <c r="L495" s="19967" t="s">
        <v>22</v>
      </c>
      <c r="M495" s="19680" t="s">
        <v>22</v>
      </c>
      <c r="N495" s="19967" t="s">
        <v>22</v>
      </c>
      <c r="O495" s="29663" t="s">
        <v>22</v>
      </c>
      <c r="P495" s="29959" t="s">
        <v>22</v>
      </c>
      <c r="Q495" s="19680" t="s">
        <v>22</v>
      </c>
      <c r="R495" s="19967" t="s">
        <v>22</v>
      </c>
      <c r="S495" s="19968" t="s">
        <v>967</v>
      </c>
      <c r="T495" s="19960"/>
      <c r="U495" s="19960"/>
      <c r="V495" s="19960"/>
      <c r="W495" s="19960"/>
      <c r="X495" s="19960"/>
      <c r="Y495" s="19960"/>
      <c r="Z495" s="19960"/>
      <c r="AA495" s="19960"/>
      <c r="AB495" s="19960"/>
      <c r="AC495" s="19969"/>
      <c r="AD495" s="19960">
        <v>0</v>
      </c>
    </row>
    <row s="36788" customFormat="1" customHeight="1" ht="22.5">
      <c r="A496" s="19960"/>
      <c r="B496" s="19961" t="s">
        <v>1139</v>
      </c>
      <c r="C496" s="19962" t="s">
        <v>103</v>
      </c>
      <c r="D496" s="19963" t="str">
        <f>B496&amp;".1"</f>
        <v>3.154.1</v>
      </c>
      <c r="E496" s="19964" t="s">
        <v>963</v>
      </c>
      <c r="F496" s="19965" t="s">
        <v>324</v>
      </c>
      <c r="G496" s="19966" t="s">
        <v>22</v>
      </c>
      <c r="H496" s="19967" t="s">
        <v>22</v>
      </c>
      <c r="I496" s="19966" t="s">
        <v>1130</v>
      </c>
      <c r="J496" s="19967" t="s">
        <v>22</v>
      </c>
      <c r="K496" s="19966" t="s">
        <v>22</v>
      </c>
      <c r="L496" s="19967" t="s">
        <v>22</v>
      </c>
      <c r="M496" s="19966" t="s">
        <v>22</v>
      </c>
      <c r="N496" s="19967" t="s">
        <v>22</v>
      </c>
      <c r="O496" s="29958" t="s">
        <v>22</v>
      </c>
      <c r="P496" s="29959" t="s">
        <v>22</v>
      </c>
      <c r="Q496" s="19966" t="s">
        <v>22</v>
      </c>
      <c r="R496" s="19967" t="s">
        <v>22</v>
      </c>
      <c r="S496" s="19968"/>
      <c r="T496" s="19960"/>
      <c r="U496" s="19960"/>
      <c r="V496" s="19960"/>
      <c r="W496" s="19960"/>
      <c r="X496" s="19960"/>
      <c r="Y496" s="19960"/>
      <c r="Z496" s="19960"/>
      <c r="AA496" s="19960"/>
      <c r="AB496" s="19960"/>
      <c r="AC496" s="19969"/>
      <c r="AD496" s="19960">
        <v>0</v>
      </c>
    </row>
    <row s="36789" customFormat="1" customHeight="1" ht="15">
      <c r="A497" s="19960"/>
      <c r="B497" s="19961"/>
      <c r="C497" s="19962"/>
      <c r="D497" s="19963" t="str">
        <f>B496&amp;".2"</f>
        <v>3.154.2</v>
      </c>
      <c r="E497" s="19964" t="s">
        <v>964</v>
      </c>
      <c r="F497" s="19965" t="s">
        <v>324</v>
      </c>
      <c r="G497" s="19680" t="s">
        <v>22</v>
      </c>
      <c r="H497" s="19967" t="s">
        <v>22</v>
      </c>
      <c r="I497" s="19680">
        <v>45467</v>
      </c>
      <c r="J497" s="19967" t="s">
        <v>22</v>
      </c>
      <c r="K497" s="19680" t="s">
        <v>22</v>
      </c>
      <c r="L497" s="19967" t="s">
        <v>22</v>
      </c>
      <c r="M497" s="19680" t="s">
        <v>22</v>
      </c>
      <c r="N497" s="19967" t="s">
        <v>22</v>
      </c>
      <c r="O497" s="29663" t="s">
        <v>22</v>
      </c>
      <c r="P497" s="29959" t="s">
        <v>22</v>
      </c>
      <c r="Q497" s="19680" t="s">
        <v>22</v>
      </c>
      <c r="R497" s="19967" t="s">
        <v>22</v>
      </c>
      <c r="S497" s="19968" t="s">
        <v>965</v>
      </c>
      <c r="T497" s="19960"/>
      <c r="U497" s="19960"/>
      <c r="V497" s="19960"/>
      <c r="W497" s="19960"/>
      <c r="X497" s="19960"/>
      <c r="Y497" s="19960"/>
      <c r="Z497" s="19960"/>
      <c r="AA497" s="19960"/>
      <c r="AB497" s="19960"/>
      <c r="AC497" s="19969"/>
      <c r="AD497" s="19960">
        <v>0</v>
      </c>
    </row>
    <row s="36790" customFormat="1" customHeight="1" ht="15">
      <c r="A498" s="19960"/>
      <c r="B498" s="19961"/>
      <c r="C498" s="19962"/>
      <c r="D498" s="19963" t="str">
        <f>B496&amp;".3"</f>
        <v>3.154.3</v>
      </c>
      <c r="E498" s="19964" t="s">
        <v>966</v>
      </c>
      <c r="F498" s="19965" t="s">
        <v>324</v>
      </c>
      <c r="G498" s="19680" t="s">
        <v>22</v>
      </c>
      <c r="H498" s="19967" t="s">
        <v>22</v>
      </c>
      <c r="I498" s="19680" t="s">
        <v>22</v>
      </c>
      <c r="J498" s="19967" t="s">
        <v>22</v>
      </c>
      <c r="K498" s="19680" t="s">
        <v>22</v>
      </c>
      <c r="L498" s="19967" t="s">
        <v>22</v>
      </c>
      <c r="M498" s="19680" t="s">
        <v>22</v>
      </c>
      <c r="N498" s="19967" t="s">
        <v>22</v>
      </c>
      <c r="O498" s="29663" t="s">
        <v>22</v>
      </c>
      <c r="P498" s="29959" t="s">
        <v>22</v>
      </c>
      <c r="Q498" s="19680" t="s">
        <v>22</v>
      </c>
      <c r="R498" s="19967" t="s">
        <v>22</v>
      </c>
      <c r="S498" s="19968" t="s">
        <v>967</v>
      </c>
      <c r="T498" s="19960"/>
      <c r="U498" s="19960"/>
      <c r="V498" s="19960"/>
      <c r="W498" s="19960"/>
      <c r="X498" s="19960"/>
      <c r="Y498" s="19960"/>
      <c r="Z498" s="19960"/>
      <c r="AA498" s="19960"/>
      <c r="AB498" s="19960"/>
      <c r="AC498" s="19969"/>
      <c r="AD498" s="19960">
        <v>0</v>
      </c>
    </row>
    <row customHeight="1" ht="11.549999999999999">
      <c r="A499" s="1131"/>
      <c r="C499" s="1131"/>
      <c r="D499" s="973"/>
      <c r="E499" s="1206" t="s">
        <v>1140</v>
      </c>
      <c r="F499" s="1198"/>
      <c r="G499" s="1320"/>
      <c r="H499" s="1320"/>
      <c r="I499" s="1320"/>
      <c r="J499" s="1320"/>
      <c r="K499" s="4982"/>
      <c r="L499" s="4983"/>
      <c r="M499" s="4984"/>
      <c r="N499" s="4985"/>
      <c r="O499" s="4986"/>
      <c r="P499" s="4987"/>
      <c r="Q499" s="4988"/>
      <c r="R499" s="4989"/>
      <c r="S499" s="1199"/>
      <c r="AC499" s="1131"/>
      <c r="AD499" s="1131">
        <v>11</v>
      </c>
    </row>
    <row customHeight="1" ht="71.25">
      <c r="A500" s="1131"/>
      <c r="B500" s="1131" t="s">
        <v>1141</v>
      </c>
      <c r="C500" s="1152"/>
      <c r="D500" s="1318">
        <v>4</v>
      </c>
      <c r="E500" s="1319" t="s">
        <v>1142</v>
      </c>
      <c r="F500" s="1321" t="s">
        <v>324</v>
      </c>
      <c r="G500" s="1440" t="s">
        <v>978</v>
      </c>
      <c r="H500" s="1441" t="s">
        <v>324</v>
      </c>
      <c r="I500" s="1150" t="s">
        <v>979</v>
      </c>
      <c r="J500" s="1147" t="s">
        <v>324</v>
      </c>
      <c r="K500" s="4981" t="s">
        <v>979</v>
      </c>
      <c r="L500" s="4475" t="s">
        <v>324</v>
      </c>
      <c r="M500" s="4981" t="s">
        <v>979</v>
      </c>
      <c r="N500" s="4475" t="s">
        <v>324</v>
      </c>
      <c r="O500" s="4981" t="s">
        <v>979</v>
      </c>
      <c r="P500" s="4475" t="s">
        <v>324</v>
      </c>
      <c r="Q500" s="4981" t="s">
        <v>979</v>
      </c>
      <c r="R500" s="4475" t="s">
        <v>324</v>
      </c>
      <c r="S500" s="1305" t="s">
        <v>1143</v>
      </c>
      <c r="AD500" s="1131">
        <v>68</v>
      </c>
    </row>
    <row customHeight="1" ht="11.549999999999999">
      <c r="A501" s="1131"/>
      <c r="C501" s="1131"/>
      <c r="D501" s="973"/>
      <c r="E501" s="1206" t="s">
        <v>1144</v>
      </c>
      <c r="F501" s="1198"/>
      <c r="G501" s="1198"/>
      <c r="H501" s="1322"/>
      <c r="I501" s="1198"/>
      <c r="J501" s="1322"/>
      <c r="K501" s="4993"/>
      <c r="L501" s="4994"/>
      <c r="M501" s="4995"/>
      <c r="N501" s="4996"/>
      <c r="O501" s="4997"/>
      <c r="P501" s="4998"/>
      <c r="Q501" s="4999"/>
      <c r="R501" s="5000"/>
      <c r="S501" s="1199"/>
      <c r="AC501" s="1131"/>
      <c r="AD501" s="1131">
        <v>11</v>
      </c>
    </row>
    <row customHeight="1" ht="22.5" hidden="1">
      <c r="A502" s="1075" t="s">
        <v>82</v>
      </c>
      <c r="B502" s="1131">
        <v>0</v>
      </c>
      <c r="C502" s="1309">
        <v>4</v>
      </c>
      <c r="D502" s="1131">
        <v>6</v>
      </c>
      <c r="E502" s="1131">
        <v>36</v>
      </c>
      <c r="F502" s="1131">
        <v>9</v>
      </c>
      <c r="G502" s="1384">
        <v>0</v>
      </c>
      <c r="H502" s="1384">
        <v>0</v>
      </c>
      <c r="I502" s="1131">
        <v>25</v>
      </c>
      <c r="J502" s="1131">
        <v>33</v>
      </c>
      <c r="K502" s="4469">
        <v>0</v>
      </c>
      <c r="L502" s="4469">
        <v>0</v>
      </c>
      <c r="M502" s="4469">
        <v>0</v>
      </c>
      <c r="N502" s="4469">
        <v>0</v>
      </c>
      <c r="O502" s="4469">
        <v>0</v>
      </c>
      <c r="P502" s="4469">
        <v>0</v>
      </c>
      <c r="Q502" s="4469">
        <v>0</v>
      </c>
      <c r="R502" s="4469">
        <v>0</v>
      </c>
      <c r="S502" s="1043">
        <v>93</v>
      </c>
      <c r="T502" s="1131">
        <v>10</v>
      </c>
      <c r="U502" s="1131">
        <v>10</v>
      </c>
      <c r="V502" s="1131">
        <v>10</v>
      </c>
      <c r="W502" s="1131">
        <v>10</v>
      </c>
      <c r="X502" s="1131">
        <v>10</v>
      </c>
      <c r="Y502" s="1131">
        <v>10</v>
      </c>
      <c r="Z502" s="1131">
        <v>10</v>
      </c>
      <c r="AA502" s="1131">
        <v>10</v>
      </c>
      <c r="AB502" s="1131">
        <v>10</v>
      </c>
      <c r="AC502" s="1301">
        <v>10</v>
      </c>
      <c r="AD502" s="1131">
        <v>23</v>
      </c>
    </row>
  </sheetData>
  <sheetProtection sheet="1" formatColumns="0" formatRows="0" autoFilter="0" sort="1" insertRows="1" insertColumns="1" deleteRows="1" deleteColumns="1"/>
  <mergeCells count="341">
    <mergeCell ref="B3:B4"/>
    <mergeCell ref="C3:C4"/>
    <mergeCell ref="B6:B7"/>
    <mergeCell ref="C6:C7"/>
    <mergeCell ref="B9:B11"/>
    <mergeCell ref="C9:C11"/>
    <mergeCell ref="B13:B14"/>
    <mergeCell ref="C13:C14"/>
    <mergeCell ref="D22:I22"/>
    <mergeCell ref="D23:I23"/>
    <mergeCell ref="I26:J26"/>
    <mergeCell ref="E26:F26"/>
    <mergeCell ref="G28:H28"/>
    <mergeCell ref="S26: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B37:B39"/>
    <mergeCell ref="C37:C39"/>
    <mergeCell ref="B40:B42"/>
    <mergeCell ref="C40:C42"/>
    <mergeCell ref="B43:B45"/>
    <mergeCell ref="C43:C45"/>
    <mergeCell ref="B46:B48"/>
    <mergeCell ref="C46:C48"/>
    <mergeCell ref="B49:B51"/>
    <mergeCell ref="C49:C51"/>
    <mergeCell ref="B52:B54"/>
    <mergeCell ref="C52:C54"/>
    <mergeCell ref="B55:B57"/>
    <mergeCell ref="C55:C57"/>
    <mergeCell ref="B58:B60"/>
    <mergeCell ref="C58:C60"/>
    <mergeCell ref="B61:B63"/>
    <mergeCell ref="C61:C63"/>
    <mergeCell ref="B64:B66"/>
    <mergeCell ref="C64:C66"/>
    <mergeCell ref="B67:B69"/>
    <mergeCell ref="C67:C69"/>
    <mergeCell ref="B70:B72"/>
    <mergeCell ref="C70:C72"/>
    <mergeCell ref="B73:B75"/>
    <mergeCell ref="C73:C75"/>
    <mergeCell ref="B76:B78"/>
    <mergeCell ref="C76:C78"/>
    <mergeCell ref="B79:B81"/>
    <mergeCell ref="C79:C81"/>
    <mergeCell ref="B82:B84"/>
    <mergeCell ref="C82:C84"/>
    <mergeCell ref="B85:B87"/>
    <mergeCell ref="C85:C87"/>
    <mergeCell ref="B88:B90"/>
    <mergeCell ref="C88:C90"/>
    <mergeCell ref="B91:B93"/>
    <mergeCell ref="C91:C93"/>
    <mergeCell ref="B94:B96"/>
    <mergeCell ref="C94:C96"/>
    <mergeCell ref="B97:B99"/>
    <mergeCell ref="C97:C99"/>
    <mergeCell ref="B100:B102"/>
    <mergeCell ref="C100:C102"/>
    <mergeCell ref="B103:B105"/>
    <mergeCell ref="C103:C105"/>
    <mergeCell ref="B106:B108"/>
    <mergeCell ref="C106:C108"/>
    <mergeCell ref="B109:B111"/>
    <mergeCell ref="C109:C111"/>
    <mergeCell ref="B112:B114"/>
    <mergeCell ref="C112:C114"/>
    <mergeCell ref="B115:B117"/>
    <mergeCell ref="C115:C117"/>
    <mergeCell ref="B118:B120"/>
    <mergeCell ref="C118:C120"/>
    <mergeCell ref="B121:B123"/>
    <mergeCell ref="C121:C123"/>
    <mergeCell ref="B124:B126"/>
    <mergeCell ref="C124:C126"/>
    <mergeCell ref="B127:B129"/>
    <mergeCell ref="C127:C129"/>
    <mergeCell ref="B130:B132"/>
    <mergeCell ref="C130:C132"/>
    <mergeCell ref="B133:B135"/>
    <mergeCell ref="C133:C135"/>
    <mergeCell ref="B136:B138"/>
    <mergeCell ref="C136:C138"/>
    <mergeCell ref="B139:B141"/>
    <mergeCell ref="C139:C141"/>
    <mergeCell ref="B142:B144"/>
    <mergeCell ref="C142:C144"/>
    <mergeCell ref="B145:B147"/>
    <mergeCell ref="C145:C147"/>
    <mergeCell ref="B148:B150"/>
    <mergeCell ref="C148:C150"/>
    <mergeCell ref="B151:B153"/>
    <mergeCell ref="C151:C153"/>
    <mergeCell ref="B154:B156"/>
    <mergeCell ref="C154:C156"/>
    <mergeCell ref="B157:B159"/>
    <mergeCell ref="C157:C159"/>
    <mergeCell ref="B160:B162"/>
    <mergeCell ref="C160:C162"/>
    <mergeCell ref="B163:B165"/>
    <mergeCell ref="C163:C165"/>
    <mergeCell ref="B166:B168"/>
    <mergeCell ref="C166:C168"/>
    <mergeCell ref="B169:B171"/>
    <mergeCell ref="C169:C171"/>
    <mergeCell ref="B172:B174"/>
    <mergeCell ref="C172:C174"/>
    <mergeCell ref="B175:B177"/>
    <mergeCell ref="C175:C177"/>
    <mergeCell ref="B178:B180"/>
    <mergeCell ref="C178:C180"/>
    <mergeCell ref="B181:B183"/>
    <mergeCell ref="C181:C183"/>
    <mergeCell ref="B184:B186"/>
    <mergeCell ref="C184:C186"/>
    <mergeCell ref="B187:B189"/>
    <mergeCell ref="C187:C189"/>
    <mergeCell ref="B190:B192"/>
    <mergeCell ref="C190:C192"/>
    <mergeCell ref="B193:B195"/>
    <mergeCell ref="C193:C195"/>
    <mergeCell ref="B196:B198"/>
    <mergeCell ref="C196:C198"/>
    <mergeCell ref="B199:B201"/>
    <mergeCell ref="C199:C201"/>
    <mergeCell ref="B202:B204"/>
    <mergeCell ref="C202:C204"/>
    <mergeCell ref="B205:B207"/>
    <mergeCell ref="C205:C207"/>
    <mergeCell ref="B208:B210"/>
    <mergeCell ref="C208:C210"/>
    <mergeCell ref="B211:B213"/>
    <mergeCell ref="C211:C213"/>
    <mergeCell ref="B214:B216"/>
    <mergeCell ref="C214:C216"/>
    <mergeCell ref="B217:B219"/>
    <mergeCell ref="C217:C219"/>
    <mergeCell ref="B220:B222"/>
    <mergeCell ref="C220:C222"/>
    <mergeCell ref="B223:B225"/>
    <mergeCell ref="C223:C225"/>
    <mergeCell ref="B226:B228"/>
    <mergeCell ref="C226:C228"/>
    <mergeCell ref="B229:B231"/>
    <mergeCell ref="C229:C231"/>
    <mergeCell ref="B232:B234"/>
    <mergeCell ref="C232:C234"/>
    <mergeCell ref="B235:B237"/>
    <mergeCell ref="C235:C237"/>
    <mergeCell ref="B238:B240"/>
    <mergeCell ref="C238:C240"/>
    <mergeCell ref="B241:B243"/>
    <mergeCell ref="C241:C243"/>
    <mergeCell ref="B244:B246"/>
    <mergeCell ref="C244:C246"/>
    <mergeCell ref="B247:B249"/>
    <mergeCell ref="C247:C249"/>
    <mergeCell ref="B250:B252"/>
    <mergeCell ref="C250:C252"/>
    <mergeCell ref="B253:B255"/>
    <mergeCell ref="C253:C255"/>
    <mergeCell ref="B256:B258"/>
    <mergeCell ref="C256:C258"/>
    <mergeCell ref="B259:B261"/>
    <mergeCell ref="C259:C261"/>
    <mergeCell ref="B262:B264"/>
    <mergeCell ref="C262:C264"/>
    <mergeCell ref="B265:B267"/>
    <mergeCell ref="C265:C267"/>
    <mergeCell ref="B268:B270"/>
    <mergeCell ref="C268:C270"/>
    <mergeCell ref="B271:B273"/>
    <mergeCell ref="C271:C273"/>
    <mergeCell ref="B274:B276"/>
    <mergeCell ref="C274:C276"/>
    <mergeCell ref="B277:B279"/>
    <mergeCell ref="C277:C279"/>
    <mergeCell ref="B280:B282"/>
    <mergeCell ref="C280:C282"/>
    <mergeCell ref="B283:B285"/>
    <mergeCell ref="C283:C285"/>
    <mergeCell ref="B286:B288"/>
    <mergeCell ref="C286:C288"/>
    <mergeCell ref="B289:B291"/>
    <mergeCell ref="C289:C291"/>
    <mergeCell ref="B292:B294"/>
    <mergeCell ref="C292:C294"/>
    <mergeCell ref="B295:B297"/>
    <mergeCell ref="C295:C297"/>
    <mergeCell ref="B298:B300"/>
    <mergeCell ref="C298:C300"/>
    <mergeCell ref="B301:B303"/>
    <mergeCell ref="C301:C303"/>
    <mergeCell ref="B304:B306"/>
    <mergeCell ref="C304:C306"/>
    <mergeCell ref="B307:B309"/>
    <mergeCell ref="C307:C309"/>
    <mergeCell ref="B310:B312"/>
    <mergeCell ref="C310:C312"/>
    <mergeCell ref="B313:B315"/>
    <mergeCell ref="C313:C315"/>
    <mergeCell ref="B316:B318"/>
    <mergeCell ref="C316:C318"/>
    <mergeCell ref="B319:B321"/>
    <mergeCell ref="C319:C321"/>
    <mergeCell ref="B322:B324"/>
    <mergeCell ref="C322:C324"/>
    <mergeCell ref="B325:B327"/>
    <mergeCell ref="C325:C327"/>
    <mergeCell ref="B328:B330"/>
    <mergeCell ref="C328:C330"/>
    <mergeCell ref="B331:B333"/>
    <mergeCell ref="C331:C333"/>
    <mergeCell ref="B334:B336"/>
    <mergeCell ref="C334:C336"/>
    <mergeCell ref="B337:B339"/>
    <mergeCell ref="C337:C339"/>
    <mergeCell ref="B340:B342"/>
    <mergeCell ref="C340:C342"/>
    <mergeCell ref="B343:B345"/>
    <mergeCell ref="C343:C345"/>
    <mergeCell ref="B346:B348"/>
    <mergeCell ref="C346:C348"/>
    <mergeCell ref="B349:B351"/>
    <mergeCell ref="C349:C351"/>
    <mergeCell ref="B352:B354"/>
    <mergeCell ref="C352:C354"/>
    <mergeCell ref="B355:B357"/>
    <mergeCell ref="C355:C357"/>
    <mergeCell ref="B358:B360"/>
    <mergeCell ref="C358:C360"/>
    <mergeCell ref="B361:B363"/>
    <mergeCell ref="C361:C363"/>
    <mergeCell ref="B364:B366"/>
    <mergeCell ref="C364:C366"/>
    <mergeCell ref="B367:B369"/>
    <mergeCell ref="C367:C369"/>
    <mergeCell ref="B370:B372"/>
    <mergeCell ref="C370:C372"/>
    <mergeCell ref="B373:B375"/>
    <mergeCell ref="C373:C375"/>
    <mergeCell ref="B376:B378"/>
    <mergeCell ref="C376:C378"/>
    <mergeCell ref="B379:B381"/>
    <mergeCell ref="C379:C381"/>
    <mergeCell ref="B382:B384"/>
    <mergeCell ref="C382:C384"/>
    <mergeCell ref="B385:B387"/>
    <mergeCell ref="C385:C387"/>
    <mergeCell ref="B388:B390"/>
    <mergeCell ref="C388:C390"/>
    <mergeCell ref="B391:B393"/>
    <mergeCell ref="C391:C393"/>
    <mergeCell ref="B394:B396"/>
    <mergeCell ref="C394:C396"/>
    <mergeCell ref="B397:B399"/>
    <mergeCell ref="C397:C399"/>
    <mergeCell ref="B400:B402"/>
    <mergeCell ref="C400:C402"/>
    <mergeCell ref="B403:B405"/>
    <mergeCell ref="C403:C405"/>
    <mergeCell ref="B406:B408"/>
    <mergeCell ref="C406:C408"/>
    <mergeCell ref="B409:B411"/>
    <mergeCell ref="C409:C411"/>
    <mergeCell ref="B412:B414"/>
    <mergeCell ref="C412:C414"/>
    <mergeCell ref="B415:B417"/>
    <mergeCell ref="C415:C417"/>
    <mergeCell ref="B418:B420"/>
    <mergeCell ref="C418:C420"/>
    <mergeCell ref="B421:B423"/>
    <mergeCell ref="C421:C423"/>
    <mergeCell ref="B424:B426"/>
    <mergeCell ref="C424:C426"/>
    <mergeCell ref="B427:B429"/>
    <mergeCell ref="C427:C429"/>
    <mergeCell ref="B430:B432"/>
    <mergeCell ref="C430:C432"/>
    <mergeCell ref="B433:B435"/>
    <mergeCell ref="C433:C435"/>
    <mergeCell ref="B436:B438"/>
    <mergeCell ref="C436:C438"/>
    <mergeCell ref="B439:B441"/>
    <mergeCell ref="C439:C441"/>
    <mergeCell ref="B442:B444"/>
    <mergeCell ref="C442:C444"/>
    <mergeCell ref="B445:B447"/>
    <mergeCell ref="C445:C447"/>
    <mergeCell ref="B448:B450"/>
    <mergeCell ref="C448:C450"/>
    <mergeCell ref="B451:B453"/>
    <mergeCell ref="C451:C453"/>
    <mergeCell ref="B454:B456"/>
    <mergeCell ref="C454:C456"/>
    <mergeCell ref="B457:B459"/>
    <mergeCell ref="C457:C459"/>
    <mergeCell ref="B460:B462"/>
    <mergeCell ref="C460:C462"/>
    <mergeCell ref="B463:B465"/>
    <mergeCell ref="C463:C465"/>
    <mergeCell ref="B466:B468"/>
    <mergeCell ref="C466:C468"/>
    <mergeCell ref="B469:B471"/>
    <mergeCell ref="C469:C471"/>
    <mergeCell ref="B472:B474"/>
    <mergeCell ref="C472:C474"/>
    <mergeCell ref="B475:B477"/>
    <mergeCell ref="C475:C477"/>
    <mergeCell ref="B478:B480"/>
    <mergeCell ref="C478:C480"/>
    <mergeCell ref="B481:B483"/>
    <mergeCell ref="C481:C483"/>
    <mergeCell ref="B484:B486"/>
    <mergeCell ref="C484:C486"/>
    <mergeCell ref="B487:B489"/>
    <mergeCell ref="C487:C489"/>
    <mergeCell ref="B490:B492"/>
    <mergeCell ref="C490:C492"/>
    <mergeCell ref="B493:B495"/>
    <mergeCell ref="C493:C495"/>
    <mergeCell ref="B496:B498"/>
    <mergeCell ref="C496:C498"/>
  </mergeCells>
  <dataValidations count="5">
    <dataValidation allowBlank="1" showInputMessage="1" showErrorMessage="1" prompt="Для выбора выполните двойной щелчок левой клавиши мыши по ячейке." sqref="I36 G500 I500 G36 K36 K500 M36 M500 O36 O500 Q36 Q5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H6:H7 J6:J7 L6:L7 N6:N7 P6:P7 R6:R7 J9:J11 L9:L11 N9:N11 P9:P11 R9:R11 H9:H11 J13:J14 L13:L14 N13:N14 P13:P14 R13:R14 H13:H14 H37 J37 L37 N37 P37 R37 H38 J38 L38 N38 P38 R38 H39 J39 L39 N39 P39 R39 H40 J40 L40 N40 P40 R40 H41 J41 L41 N41 P41 R41 H42 J42 L42 N42 P42 R42 H43 J43 L43 N43 P43 R43 H44 J44 L44 N44 P44 R44 H45 J45 L45 N45 P45 R45 H46 J46 L46 N46 P46 R46 H47 J47 L47 N47 P47 R47 H48 J48 L48 N48 P48 R48 H49 J49 L49 N49 P49 R49 H50 J50 L50 N50 P50 R50 H51 J51 L51 N51 P51 R51 H52 J52 L52 N52 P52 R52 H53 J53 L53 N53 P53 R53 H54 J54 L54 N54 P54 R54 H55 J55 L55 N55 P55 R55 H56 J56 L56 N56 P56 R56 H57 J57 L57 N57 P57 R57 H58 J58 L58 N58 P58 R58 H59 J59 L59 N59 P59 R59 H60:H498 J60:J498 L60:L498 N60:N498 P60:P498 R60:R498">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G38 I38 K38 M38 O38 Q38 G39 I39 K39 M39 O39 Q39 G41 I41 K41 M41 O41 Q41 G42 I42 K42 M42 O42 Q42 G44 I44 K44 M44 O44 Q44 G45 I45 K45 M45 O45 Q45 G47 I47 K47 M47 O47 Q47 G48 I48 K48 M48 O48 Q48 G50 I50 K50 M50 O50 Q50 G51 I51 K51 M51 O51 Q51 G53 I53 K53 M53 O53 Q53 G54 I54 K54 M54 O54 Q54 G56 I56 K56 M56 O56 Q56 G57 I57 K57 M57 O57 Q57 G59 I59 K59 M59 O59 Q59 G60 G62:G63 G65:G66 G68:G69 G71:G72 G74:G75 G77:G78 G80:G81 G83:G84 G86:G87 G89:G90 G92:G93 G95:G96 G98:G99 G101:G102 G104:G105 G107:G108 G110:G111 G113:G114 G116:G117 G119:G120 G122:G123 G125:G126 G128:G129 G131:G132 G134:G135 G137:G138 G140:G141 G143:G144 G146:G147 G149:G150 G152:G153 G155:G156 G158:G159 G161:G162 G164:G165 G167:G168 G170:G171 G173:G174 G176:G177 G179:G180 G182:G183 G185:G186 G188:G189 G191:G192 G194:G195 G197:G198 G200:G201 G203:G204 G206:G207 G209:G210 G212:G213 G215:G216 G218:G219 G221:G222 G224:G225 G227:G228 G230:G231 G233:G234 G236:G237 G239:G240 G242:G243 G245:G246 G248:G249 G251:G252 G254:G255 G257:G258 G260:G261 G263:G264 G266:G267 G269:G270 G272:G273 G275:G276 G278:G279 G281:G282 G284:G285 G287:G288 G290:G291 G293:G294 G296:G297 G299:G300 G302:G303 G305:G306 G308:G309 G311:G312 G314:G315 G317:G318 G320:G321 G323:G324 G326:G327 G329:G330 G332:G333 G335:G336 G338:G339 G341:G342 G344:G345 G347:G348 G350:G351 G353:G354 G356:G357 G359:G360 G362:G363 G365:G366 G368:G369 G371:G372 G374:G375 G377:G378 G380:G381 G383:G384 G386:G387 G389:G390 G392:G393 G395:G396 G398:G399 G401:G402 G404:G405 G407:G408 G410:G411 G413:G414 G416:G417 G419:G420 G422:G423 G425:G426 G428:G429 G431:G432 G434:G435 G437:G438 G440:G441 G443:G444 G446:G447 G449:G450 G452:G453 G455:G456 G458:G459 G461:G462 G464:G465 G467:G468 G470:G471 G473:G474 G476:G477 G479:G480 G482:G483 G485:G486 G488:G489 G491:G492 G494:G495 G497:G498 I60 I62:I63 I65:I66 I68:I69 I71:I72 I74:I75 I77:I78 I80:I81 I83:I84 I86:I87 I89:I90 I92:I93 I95:I96 I98:I99 I101:I102 I104:I105 I107:I108 I110:I111 I113:I114 I116:I117 I119:I120 I122:I123 I125:I126 I128:I129 I131:I132 I134:I135 I137:I138 I140:I141 I143:I144 I146:I147 I149:I150 I152:I153 I155:I156 I158:I159 I161:I162 I164:I165 I167:I168 I170:I171 I173:I174 I176:I177 I179:I180 I182:I183 I185:I186 I188:I189 I191:I192 I194:I195 I197:I198 I200:I201 I203:I204 I206:I207 I209:I210 I212:I213 I215:I216 I218:I219 I221:I222 I224:I225 I227:I228 I230:I231 I233:I234 I236:I237 I239:I240 I242:I243 I245:I246 I248:I249 I251:I252 I254:I255 I257:I258 I260:I261 I263:I264 I266:I267 I269:I270 I272:I273 I275:I276 I278:I279 I281:I282 I284:I285 I287:I288 I290:I291 I293:I294 I296:I297 I299:I300 I302:I303 I305:I306 I308:I309 I311:I312 I314:I315 I317:I318 I320:I321 I323:I324 I326:I327 I329:I330 I332:I333 I335:I336 I338:I339 I341:I342 I344:I345 I347:I348 I350:I351 I353:I354 I356:I357 I359:I360 I362:I363 I365:I366 I368:I369 I371:I372 I374:I375 I377:I378 I380:I381 I383:I384 I386:I387 I389:I390 I392:I393 I395:I396 I398:I399 I401:I402 I404:I405 I407:I408 I410:I411 I413:I414 I416:I417 I419:I420 I422:I423 I425:I426 I428:I429 I431:I432 I434:I435 I437:I438 I440:I441 I443:I444 I446:I447 I449:I450 I452:I453 I455:I456 I458:I459 I461:I462 I464:I465 I467:I468 I470:I471 I473:I474 I476:I477 I479:I480 I482:I483 I485:I486 I488:I489 I491:I492 I494:I495 I497:I498 K60 K62:K63 K65:K66 K68:K69 K71:K72 K74:K75 K77:K78 K80:K81 K83:K84 K86:K87 K89:K90 K92:K93 K95:K96 K98:K99 K101:K102 K104:K105 K107:K108 K110:K111 K113:K114 K116:K117 K119:K120 K122:K123 K125:K126 K128:K129 K131:K132 K134:K135 K137:K138 K140:K141 K143:K144 K146:K147 K149:K150 K152:K153 K155:K156 K158:K159 K161:K162 K164:K165 K167:K168 K170:K171 K173:K174 K176:K177 K179:K180 K182:K183 K185:K186 K188:K189 K191:K192 K194:K195 K197:K198 K200:K201 K203:K204 K206:K207 K209:K210 K212:K213 K215:K216 K218:K219 K221:K222 K224:K225 K227:K228 K230:K231 K233:K234 K236:K237 K239:K240 K242:K243 K245:K246 K248:K249 K251:K252 K254:K255 K257:K258 K260:K261 K263:K264 K266:K267 K269:K270 K272:K273 K275:K276 K278:K279 K281:K282 K284:K285 K287:K288 K290:K291 K293:K294 K296:K297 K299:K300 K302:K303 K305:K306 K308:K309 K311:K312 K314:K315 K317:K318 K320:K321 K323:K324 K326:K327 K329:K330 K332:K333 K335:K336 K338:K339 K341:K342 K344:K345 K347:K348 K350:K351 K353:K354 K356:K357 K359:K360 K362:K363 K365:K366 K368:K369 K371:K372 K374:K375 K377:K378 K380:K381 K383:K384 K386:K387 K389:K390 K392:K393 K395:K396 K398:K399 K401:K402 K404:K405 K407:K408 K410:K411 K413:K414 K416:K417 K419:K420 K422:K423 K425:K426 K428:K429 K431:K432 K434:K435 K437:K438 K440:K441 K443:K444 K446:K447 K449:K450 K452:K453 K455:K456 K458:K459 K461:K462 K464:K465 K467:K468 K470:K471 K473:K474 K476:K477 K479:K480 K482:K483 K485:K486 K488:K489 K491:K492 K494:K495 K497:K498 M60 M62:M63 M65:M66 M68:M69 M71:M72 M74:M75 M77:M78 M80:M81 M83:M84 M86:M87 M89:M90 M92:M93 M95:M96 M98:M99 M101:M102 M104:M105 M107:M108 M110:M111 M113:M114 M116:M117 M119:M120 M122:M123 M125:M126 M128:M129 M131:M132 M134:M135 M137:M138 M140:M141 M143:M144 M146:M147 M149:M150 M152:M153 M155:M156 M158:M159 M161:M162 M164:M165 M167:M168 M170:M171 M173:M174 M176:M177 M179:M180 M182:M183 M185:M186 M188:M189 M191:M192 M194:M195 M197:M198 M200:M201 M203:M204 M206:M207 M209:M210 M212:M213 M215:M216 M218:M219 M221:M222 M224:M225 M227:M228 M230:M231 M233:M234 M236:M237 M239:M240 M242:M243 M245:M246 M248:M249 M251:M252 M254:M255 M257:M258 M260:M261 M263:M264 M266:M267 M269:M270 M272:M273 M275:M276 M278:M279 M281:M282 M284:M285 M287:M288 M290:M291 M293:M294 M296:M297 M299:M300 M302:M303 M305:M306 M308:M309 M311:M312 M314:M315 M317:M318 M320:M321 M323:M324 M326:M327 M329:M330 M332:M333 M335:M336 M338:M339 M341:M342 M344:M345 M347:M348 M350:M351 M353:M354 M356:M357 M359:M360 M362:M363 M365:M366 M368:M369 M371:M372 M374:M375 M377:M378 M380:M381 M383:M384 M386:M387 M389:M390 M392:M393 M395:M396 M398:M399 M401:M402 M404:M405 M407:M408 M410:M411 M413:M414 M416:M417 M419:M420 M422:M423 M425:M426 M428:M429 M431:M432 M434:M435 M437:M438 M440:M441 M443:M444 M446:M447 M449:M450 M452:M453 M455:M456 M458:M459 M461:M462 M464:M465 M467:M468 M470:M471 M473:M474 M476:M477 M479:M480 M482:M483 M485:M486 M488:M489 M491:M492 M494:M495 M497:M498 O60 O62:O63 O65:O66 O68:O69 O71:O72 O74:O75 O77:O78 O80:O81 O83:O84 O86:O87 O89:O90 O92:O93 O95:O96 O98:O99 O101:O102 O104:O105 O107:O108 O110:O111 O113:O114 O116:O117 O119:O120 O122:O123 O125:O126 O128:O129 O131:O132 O134:O135 O137:O138 O140:O141 O143:O144 O146:O147 O149:O150 O152:O153 O155:O156 O158:O159 O161:O162 O164:O165 O167:O168 O170:O171 O173:O174 O176:O177 O179:O180 O182:O183 O185:O186 O188:O189 O191:O192 O194:O195 O197:O198 O200:O201 O203:O204 O206:O207 O209:O210 O212:O213 O215:O216 O218:O219 O221:O222 O224:O225 O227:O228 O230:O231 O233:O234 O236:O237 O239:O240 O242:O243 O245:O246 O248:O249 O251:O252 O254:O255 O257:O258 O260:O261 O263:O264 O266:O267 O269:O270 O272:O273 O275:O276 O278:O279 O281:O282 O284:O285 O287:O288 O290:O291 O293:O294 O296:O297 O299:O300 O302:O303 O305:O306 O308:O309 O311:O312 O314:O315 O317:O318 O320:O321 O323:O324 O326:O327 O329:O330 O332:O333 O335:O336 O338:O339 O341:O342 O344:O345 O347:O348 O350:O351 O353:O354 O356:O357 O359:O360 O362:O363 O365:O366 O368:O369 O371:O372 O374:O375 O377:O378 O380:O381 O383:O384 O386:O387 O389:O390 O392:O393 O395:O396 O398:O399 O401:O402 O404:O405 O407:O408 O410:O411 O413:O414 O416:O417 O419:O420 O422:O423 O425:O426 O428:O429 O431:O432 O434:O435 O437:O438 O440:O441 O443:O444 O446:O447 O449:O450 O452:O453 O455:O456 O458:O459 O461:O462 O464:O465 O467:O468 O470:O471 O473:O474 O476:O477 O479:O480 O482:O483 O485:O486 O488:O489 O491:O492 O494:O495 O497:O498 Q60 Q62:Q63 Q65:Q66 Q68:Q69 Q71:Q72 Q74:Q75 Q77:Q78 Q80:Q81 Q83:Q84 Q86:Q87 Q89:Q90 Q92:Q93 Q95:Q96 Q98:Q99 Q101:Q102 Q104:Q105 Q107:Q108 Q110:Q111 Q113:Q114 Q116:Q117 Q119:Q120 Q122:Q123 Q125:Q126 Q128:Q129 Q131:Q132 Q134:Q135 Q137:Q138 Q140:Q141 Q143:Q144 Q146:Q147 Q149:Q150 Q152:Q153 Q155:Q156 Q158:Q159 Q161:Q162 Q164:Q165 Q167:Q168 Q170:Q171 Q173:Q174 Q176:Q177 Q179:Q180 Q182:Q183 Q185:Q186 Q188:Q189 Q191:Q192 Q194:Q195 Q197:Q198 Q200:Q201 Q203:Q204 Q206:Q207 Q209:Q210 Q212:Q213 Q215:Q216 Q218:Q219 Q221:Q222 Q224:Q225 Q227:Q228 Q230:Q231 Q233:Q234 Q236:Q237 Q239:Q240 Q242:Q243 Q245:Q246 Q248:Q249 Q251:Q252 Q254:Q255 Q257:Q258 Q260:Q261 Q263:Q264 Q266:Q267 Q269:Q270 Q272:Q273 Q275:Q276 Q278:Q279 Q281:Q282 Q284:Q285 Q287:Q288 Q290:Q291 Q293:Q294 Q296:Q297 Q299:Q300 Q302:Q303 Q305:Q306 Q308:Q309 Q311:Q312 Q314:Q315 Q317:Q318 Q320:Q321 Q323:Q324 Q326:Q327 Q329:Q330 Q332:Q333 Q335:Q336 Q338:Q339 Q341:Q342 Q344:Q345 Q347:Q348 Q350:Q351 Q353:Q354 Q356:Q357 Q359:Q360 Q362:Q363 Q365:Q366 Q368:Q369 Q371:Q372 Q374:Q375 Q377:Q378 Q380:Q381 Q383:Q384 Q386:Q387 Q389:Q390 Q392:Q393 Q395:Q396 Q398:Q399 Q401:Q402 Q404:Q405 Q407:Q408 Q410:Q411 Q413:Q414 Q416:Q417 Q419:Q420 Q422:Q423 Q425:Q426 Q428:Q429 Q431:Q432 Q434:Q435 Q437:Q438 Q440:Q441 Q443:Q444 Q446:Q447 Q449:Q450 Q452:Q453 Q455:Q456 Q458:Q459 Q461:Q462 Q464:Q465 Q467:Q468 Q470:Q471 Q473:Q474 Q476:Q477 Q479:Q480 Q482:Q483 Q485:Q486 Q488:Q489 Q491:Q492 Q494:Q495 Q497:Q498"/>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G37 I37 K37 M37 O37 Q37 G40 I40 K40 M40 O40 Q40 G43 I43 K43 M43 O43 Q43 G46 I46 K46 M46 O46 Q46 G49 I49 K49 M49 O49 Q49 G52 I52 K52 M52 O52 Q52 G55 I55 K55 M55 O55 Q55 G58 I58 K58 M58 O58 Q58 G61 I61 K61 M61 O61 Q61 G64 I64 K64 M64 O64 Q64 G67 I67 K67 M67 O67 Q67 G70 I70 K70 M70 O70 Q70 G73 I73 K73 M73 O73 Q73 G76 I76 K76 M76 O76 Q76 G79 I79 K79 M79 O79 Q79 G82 I82 K82 M82 O82 Q82 G85 I85 K85 M85 O85 Q85 G88 I88 K88 M88 O88 Q88 G91 I91 K91 M91 O91 Q91 G94 I94 K94 M94 O94 Q94 G97 I97 K97 M97 O97 Q97 G100 I100 K100 M100 O100 Q100 G103 I103 K103 M103 O103 Q103 G106 I106 K106 M106 O106 Q106 G109 I109 K109 M109 O109 Q109 G112 I112 K112 M112 O112 Q112 G115 I115 K115 M115 O115 Q115 G118 I118 K118 M118 O118 Q118 G121 I121 K121 M121 O121 Q121 G124 I124 K124 M124 O124 Q124 G127 I127 K127 M127 O127 Q127 G130 I130 K130 M130 O130 Q130 G133 I133 K133 M133 O133 Q133 G136 I136 K136 M136 O136 Q136 G139 I139 K139 M139 O139 Q139 G142 I142 K142 M142 O142 Q142 G145 I145 K145 M145 O145 Q145 G148 I148 K148 M148 O148 Q148 G151 I151 K151 M151 O151 Q151 G154 I154 K154 M154 O154 Q154 G157 I157 K157 M157 O157 Q157 G160 I160 K160 M160 O160 Q160 G163 I163 K163 M163 O163 Q163 G166 I166 K166 M166 O166 Q166 G169 I169 K169 M169 O169 Q169 G172 I172 K172 M172 O172 Q172 G175 I175 K175 M175 O175 Q175 G178 I178 K178 M178 O178 Q178 G181 I181 K181 M181 O181 Q181 G184 I184 K184 M184 O184 Q184 G187 I187 K187 M187 O187 Q187 G190 I190 K190 M190 O190 Q190 G193 I193 K193 M193 O193 Q193 G196 I196 K196 M196 O196 Q196 G199 I199 K199 M199 O199 Q199 G202 I202 K202 M202 O202 Q202 G205 I205 K205 M205 O205 Q205 G208 I208 K208 M208 O208 Q208 G211 I211 K211 M211 O211 Q211 G214 I214 K214 M214 O214 Q214 G217 I217 K217 M217 O217 Q217 G220 I220 K220 M220 O220 Q220 G223 I223 K223 M223 O223 Q223 G226 I226 K226 M226 O226 Q226 G229 I229 K229 M229 O229 Q229 G232 I232 K232 M232 O232 Q232 G235 I235 K235 M235 O235 Q235 G238 I238 K238 M238 O238 Q238 G241 I241 K241 M241 O241 Q241 G244 I244 K244 M244 O244 Q244 G247 I247 K247 M247 O247 Q247 G250 I250 K250 M250 O250 Q250 G253 I253 K253 M253 O253 Q253 G256 I256 K256 M256 O256 Q256 G259 I259 K259 M259 O259 Q259 G262 I262 K262 M262 O262 Q262 G265 I265 K265 M265 O265 Q265 G268 I268 K268 M268 O268 Q268 G271 I271 K271 M271 O271 Q271 G274 I274 K274 M274 O274 Q274 G277 I277 K277 M277 O277 Q277 G280 I280 K280 M280 O280 Q280 G283 I283 K283 M283 O283 Q283 G286 I286 K286 M286 O286 Q286 G289 I289 K289 M289 O289 Q289 G292 I292 K292 M292 O292 Q292 G295 I295 K295 M295 O295 Q295 G298 I298 K298 M298 O298 Q298 G301 I301 K301 M301 O301 Q301 G304 I304 K304 M304 O304 Q304 G307 I307 K307 M307 O307 Q307 G310 I310 K310 M310 O310 Q310 G313 I313 K313 M313 O313 Q313 G316 I316 K316 M316 O316 Q316 G319 I319 K319 M319 O319 Q319 G322 I322 K322 M322 O322 Q322 G325 I325 K325 M325 O325 Q325 G328 I328 K328 M328 O328 Q328 G331 I331 K331 M331 O331 Q331 G334 I334 K334 M334 O334 Q334 G337 I337 K337 M337 O337 Q337 G340 I340 K340 M340 O340 Q340 G343 I343 K343 M343 O343 Q343 G346 I346 K346 M346 O346 Q346 G349 I349 K349 M349 O349 Q349 G352 I352 K352 M352 O352 Q352 G355 I355 K355 M355 O355 Q355 G358 I358 K358 M358 O358 Q358 G361 I361 K361 M361 O361 Q361 G364 I364 K364 M364 O364 Q364 G367 I367 K367 M367 O367 Q367 G370 I370 K370 M370 O370 Q370 G373 I373 K373 M373 O373 Q373 G376 I376 K376 M376 O376 Q376 G379 I379 K379 M379 O379 Q379 G382 I382 K382 M382 O382 Q382 G385 I385 K385 M385 O385 Q385 G388 I388 K388 M388 O388 Q388 G391 I391 K391 M391 O391 Q391 G394 I394 K394 M394 O394 Q394 G397 I397 K397 M397 O397 Q397 G400 I400 K400 M400 O400 Q400 G403 I403 K403 M403 O403 Q403 G406 I406 K406 M406 O406 Q406 G409 I409 K409 M409 O409 Q409 G412 I412 K412 M412 O412 Q412 G415 I415 K415 M415 O415 Q415 G418 I418 K418 M418 O418 Q418 G421 I421 K421 M421 O421 Q421 G424 I424 K424 M424 O424 Q424 G427 I427 K427 M427 O427 Q427 G430 I430 K430 M430 O430 Q430 G433 I433 K433 M433 O433 Q433 G436 I436 K436 M436 O436 Q436 G439 I439 K439 M439 O439 Q439 G442 I442 K442 M442 O442 Q442 G445 I445 K445 M445 O445 Q445 G448 I448 K448 M448 O448 Q448 G451 I451 K451 M451 O451 Q451 G454 I454 K454 M454 O454 Q454 G457 I457 K457 M457 O457 Q457 G460 I460 K460 M460 O460 Q460 G463 I463 K463 M463 O463 Q463 G466 I466 K466 M466 O466 Q466 G469 I469 K469 M469 O469 Q469 G472 I472 K472 M472 O472 Q472 G475 I475 K475 M475 O475 Q475 G478 I478 K478 M478 O478 Q478 G481 I481 K481 M481 O481 Q481 G484 I484 K484 M484 O484 Q484 G487 I487 K487 M487 O487 Q487 G490 I490 K490 M490 O490 Q490 G493 I493 K493 M493 O493 Q493 G496 I496 K496 M496 O496 Q496">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3C1DAA-6692-0AC1-2149-B70C1C61D018}"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36209" width="6.7109375" hidden="1" customWidth="1"/>
    <col min="4" max="4" style="34657" width="6.7109375" hidden="1" customWidth="1"/>
    <col min="5" max="5" style="34580" width="3.00390625" customWidth="1"/>
    <col min="6" max="6" style="34580" width="6.00390625" customWidth="1"/>
    <col min="7" max="7" style="34580" width="37.00390625" customWidth="1"/>
    <col min="8" max="8" style="34580" width="16.00390625" customWidth="1"/>
    <col min="9" max="10" style="34580" width="19.00390625" customWidth="1"/>
    <col min="11" max="11" style="34580" width="24.00390625" customWidth="1"/>
    <col min="12" max="13" style="34580" width="25.00390625" customWidth="1"/>
    <col min="14" max="16" style="34580" width="17.00390625" customWidth="1"/>
    <col min="17" max="24" style="34580" width="19.00390625" customWidth="1"/>
    <col min="25" max="25" style="34580" width="7.00390625" customWidth="1"/>
    <col min="26" max="26" style="34580" width="3.00390625" customWidth="1"/>
    <col min="27" max="27" style="34580" width="6.00390625" customWidth="1"/>
    <col min="28" max="28" style="34580" width="34.00390625" customWidth="1"/>
    <col min="29" max="30" style="34580" width="8.00390625" customWidth="1"/>
    <col min="31" max="31" style="34580" width="9.140625" hidden="1"/>
  </cols>
  <sheetData>
    <row s="34657" customFormat="1" customHeight="1" ht="10.5" hidden="1">
      <c r="A1" s="1521"/>
      <c r="B1" s="1521"/>
      <c r="C1" s="1521"/>
      <c r="E1" s="1163"/>
      <c r="H1" s="1786"/>
      <c r="AE1" s="1043" t="s">
        <v>14</v>
      </c>
    </row>
    <row customHeight="1" ht="10.5" hidden="1">
      <c r="AE2" s="1384">
        <v>0</v>
      </c>
    </row>
    <row s="34544" customFormat="1" customHeight="1" ht="10.5" hidden="1">
      <c r="A3" s="1521"/>
      <c r="B3" s="1521"/>
      <c r="C3" s="1521"/>
      <c r="D3" s="1043"/>
      <c r="E3" s="988"/>
      <c r="G3" s="2258" t="s">
        <v>1145</v>
      </c>
      <c r="H3" s="1782"/>
      <c r="AE3" s="1385">
        <v>0</v>
      </c>
    </row>
    <row customHeight="1" ht="3">
      <c r="AE4" s="1384">
        <v>3</v>
      </c>
    </row>
    <row customHeight="1" ht="27.299999999999997">
      <c r="F5" s="287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74"/>
      <c r="H5" s="2874"/>
      <c r="I5" s="2874"/>
      <c r="J5" s="2874"/>
      <c r="K5" s="2874"/>
      <c r="M5" s="1208"/>
      <c r="AB5" s="1532"/>
      <c r="AE5" s="1384">
        <v>26</v>
      </c>
    </row>
    <row s="34580" customFormat="1" customHeight="1" ht="16.8">
      <c r="A6" s="1792"/>
      <c r="B6" s="1792"/>
      <c r="C6" s="1792"/>
      <c r="D6" s="1786"/>
      <c r="E6" s="2261"/>
      <c r="F6" s="2875" t="str">
        <f>IF(org=0,"Не определено",org)</f>
        <v>АО "ДГК"</v>
      </c>
      <c r="G6" s="2875"/>
      <c r="H6" s="2875"/>
      <c r="I6" s="2875"/>
      <c r="J6" s="2875"/>
      <c r="K6" s="2875"/>
      <c r="M6" s="1208"/>
      <c r="AB6" s="1774"/>
      <c r="AE6" s="2257">
        <v>16</v>
      </c>
    </row>
    <row customHeight="1" ht="10.5">
      <c r="AE7" s="1384">
        <v>10</v>
      </c>
    </row>
    <row customHeight="1" ht="10.5">
      <c r="A8" s="1677"/>
      <c r="B8" s="1677"/>
      <c r="C8" s="1677"/>
      <c r="F8" s="2727" t="s">
        <v>318</v>
      </c>
      <c r="G8" s="2728"/>
      <c r="H8" s="2728"/>
      <c r="I8" s="2728"/>
      <c r="J8" s="2728"/>
      <c r="K8" s="2728"/>
      <c r="L8" s="2728"/>
      <c r="M8" s="2728"/>
      <c r="N8" s="2728"/>
      <c r="O8" s="2728"/>
      <c r="P8" s="2728"/>
      <c r="Q8" s="2728"/>
      <c r="R8" s="2728"/>
      <c r="S8" s="2728"/>
      <c r="T8" s="2728"/>
      <c r="U8" s="2728"/>
      <c r="V8" s="2728"/>
      <c r="W8" s="2728"/>
      <c r="X8" s="2728"/>
      <c r="Y8" s="2728"/>
      <c r="Z8" s="2728"/>
      <c r="AA8" s="2728"/>
      <c r="AB8" s="2729"/>
      <c r="AE8" s="1384">
        <v>10</v>
      </c>
    </row>
    <row customHeight="1" ht="43.050000000000004">
      <c r="A9" s="1531"/>
      <c r="B9" s="1531"/>
      <c r="C9" s="1531"/>
      <c r="F9" s="2753" t="s">
        <v>88</v>
      </c>
      <c r="G9" s="2753" t="s">
        <v>1145</v>
      </c>
      <c r="H9" s="2801" t="s">
        <v>1146</v>
      </c>
      <c r="I9" s="2753" t="s">
        <v>1147</v>
      </c>
      <c r="J9" s="2753" t="s">
        <v>1148</v>
      </c>
      <c r="K9" s="2753" t="s">
        <v>1149</v>
      </c>
      <c r="L9" s="2753" t="s">
        <v>1150</v>
      </c>
      <c r="M9" s="2753" t="s">
        <v>1151</v>
      </c>
      <c r="N9" s="2835" t="s">
        <v>1152</v>
      </c>
      <c r="O9" s="2835"/>
      <c r="P9" s="2835"/>
      <c r="Q9" s="3025" t="s">
        <v>1153</v>
      </c>
      <c r="R9" s="3026"/>
      <c r="S9" s="3026"/>
      <c r="T9" s="3027"/>
      <c r="U9" s="3025" t="s">
        <v>1154</v>
      </c>
      <c r="V9" s="3026"/>
      <c r="W9" s="3026"/>
      <c r="X9" s="3027"/>
      <c r="Y9" s="2727" t="s">
        <v>1155</v>
      </c>
      <c r="Z9" s="2728"/>
      <c r="AA9" s="2728"/>
      <c r="AB9" s="2729"/>
      <c r="AE9" s="1384">
        <v>41</v>
      </c>
    </row>
    <row customHeight="1" ht="43.050000000000004">
      <c r="A10" s="1531"/>
      <c r="B10" s="1531"/>
      <c r="C10" s="1531"/>
      <c r="F10" s="2801"/>
      <c r="G10" s="2801"/>
      <c r="H10" s="2858"/>
      <c r="I10" s="2801"/>
      <c r="J10" s="2801"/>
      <c r="K10" s="2801"/>
      <c r="L10" s="2801"/>
      <c r="M10" s="2801"/>
      <c r="N10" s="1529" t="s">
        <v>1156</v>
      </c>
      <c r="O10" s="1529" t="s">
        <v>1157</v>
      </c>
      <c r="P10" s="1530" t="s">
        <v>1158</v>
      </c>
      <c r="Q10" s="1541" t="s">
        <v>89</v>
      </c>
      <c r="R10" s="1541" t="s">
        <v>1159</v>
      </c>
      <c r="S10" s="1541" t="s">
        <v>1160</v>
      </c>
      <c r="T10" s="1542" t="s">
        <v>1161</v>
      </c>
      <c r="U10" s="1541" t="s">
        <v>89</v>
      </c>
      <c r="V10" s="1541" t="s">
        <v>1162</v>
      </c>
      <c r="W10" s="1541" t="s">
        <v>1160</v>
      </c>
      <c r="X10" s="1542" t="s">
        <v>1161</v>
      </c>
      <c r="Y10" s="927" t="s">
        <v>1163</v>
      </c>
      <c r="Z10" s="2727" t="s">
        <v>88</v>
      </c>
      <c r="AA10" s="2729"/>
      <c r="AB10" s="1675" t="s">
        <v>1164</v>
      </c>
      <c r="AE10" s="1384">
        <v>41</v>
      </c>
    </row>
    <row s="34658" customFormat="1" customHeight="1" ht="5.25" hidden="1">
      <c r="A11" s="1678"/>
      <c r="B11" s="1678"/>
      <c r="C11" s="1678"/>
      <c r="E11" s="1676"/>
      <c r="F11" s="3032" t="s">
        <v>394</v>
      </c>
      <c r="G11" s="3029"/>
      <c r="H11" s="3028"/>
      <c r="I11" s="3028"/>
      <c r="J11" s="3028"/>
      <c r="K11" s="3030"/>
      <c r="L11" s="3030"/>
      <c r="M11" s="3030"/>
      <c r="N11" s="3028"/>
      <c r="O11" s="3028"/>
      <c r="P11" s="2753"/>
      <c r="Q11" s="2805"/>
      <c r="R11" s="2805"/>
      <c r="S11" s="2805"/>
      <c r="T11" s="3028"/>
      <c r="U11" s="2805"/>
      <c r="V11" s="2805"/>
      <c r="W11" s="2805"/>
      <c r="X11" s="3028"/>
      <c r="Y11" s="2734"/>
      <c r="Z11" s="2734"/>
      <c r="AA11" s="2734"/>
      <c r="AB11" s="2734"/>
      <c r="AD11" s="1137" t="s">
        <v>1165</v>
      </c>
      <c r="AE11" s="1137">
        <v>0</v>
      </c>
    </row>
    <row s="34658" customFormat="1" customHeight="1" ht="5.25" hidden="1">
      <c r="A12" s="1522"/>
      <c r="B12" s="1522"/>
      <c r="C12" s="1522"/>
      <c r="E12" s="1144"/>
      <c r="F12" s="3032"/>
      <c r="G12" s="3029"/>
      <c r="H12" s="3028"/>
      <c r="I12" s="3028"/>
      <c r="J12" s="3028"/>
      <c r="K12" s="3030"/>
      <c r="L12" s="3030"/>
      <c r="M12" s="3030"/>
      <c r="N12" s="3028"/>
      <c r="O12" s="3028"/>
      <c r="P12" s="2753"/>
      <c r="Q12" s="2805"/>
      <c r="R12" s="2805"/>
      <c r="S12" s="2805"/>
      <c r="T12" s="3028"/>
      <c r="U12" s="2805"/>
      <c r="V12" s="2805"/>
      <c r="W12" s="2805"/>
      <c r="X12" s="3028"/>
      <c r="Y12" s="3031"/>
      <c r="Z12" s="3031"/>
      <c r="AA12" s="3031"/>
      <c r="AB12" s="3031"/>
      <c r="AE12" s="1137">
        <v>0</v>
      </c>
    </row>
    <row customHeight="1" ht="10.5">
      <c r="F13" s="1528"/>
      <c r="G13" s="1276" t="s">
        <v>1166</v>
      </c>
      <c r="H13" s="1794"/>
      <c r="I13" s="1198"/>
      <c r="J13" s="1198"/>
      <c r="K13" s="1198"/>
      <c r="L13" s="1198"/>
      <c r="M13" s="1198"/>
      <c r="N13" s="1198"/>
      <c r="O13" s="1198"/>
      <c r="P13" s="1198"/>
      <c r="Q13" s="1198"/>
      <c r="R13" s="1198"/>
      <c r="S13" s="1198"/>
      <c r="T13" s="1198"/>
      <c r="U13" s="1198"/>
      <c r="V13" s="1198"/>
      <c r="W13" s="1198"/>
      <c r="X13" s="1198"/>
      <c r="Y13" s="1198"/>
      <c r="Z13" s="1322"/>
      <c r="AA13" s="1322"/>
      <c r="AB13" s="1543"/>
      <c r="AE13" s="1384">
        <v>10</v>
      </c>
    </row>
    <row customHeight="1" ht="10.5">
      <c r="AE14" s="1384">
        <v>10</v>
      </c>
    </row>
    <row s="34658" customFormat="1" customHeight="1" ht="10.5">
      <c r="A15" s="1793"/>
      <c r="B15" s="1793"/>
      <c r="C15" s="1793"/>
      <c r="E15" s="1144"/>
      <c r="H15" s="1137">
        <f>_xlfn.IFERROR(MATCH("нет",IP_MAIN_DIFFERENTIATION_EVENTS_FLAG,0),0)</f>
        <v>0</v>
      </c>
      <c r="AE15" s="1137">
        <v>10</v>
      </c>
    </row>
    <row customHeight="1" ht="10.5" hidden="1">
      <c r="A16" s="1521" t="s">
        <v>82</v>
      </c>
      <c r="B16" s="1521">
        <v>0</v>
      </c>
      <c r="C16" s="1521">
        <v>0</v>
      </c>
      <c r="D16" s="1043">
        <v>0</v>
      </c>
      <c r="E16" s="1135">
        <v>3</v>
      </c>
      <c r="F16" s="1384">
        <v>6</v>
      </c>
      <c r="G16" s="1384">
        <v>37</v>
      </c>
      <c r="H16" s="1781">
        <v>16</v>
      </c>
      <c r="I16" s="1384">
        <v>19</v>
      </c>
      <c r="J16" s="1384">
        <v>19</v>
      </c>
      <c r="K16" s="1384">
        <v>24</v>
      </c>
      <c r="L16" s="1384">
        <v>25</v>
      </c>
      <c r="M16" s="1384">
        <v>25</v>
      </c>
      <c r="N16" s="1384">
        <v>17</v>
      </c>
      <c r="O16" s="1384">
        <v>17</v>
      </c>
      <c r="P16" s="1384">
        <v>17</v>
      </c>
      <c r="Q16" s="1384">
        <v>19</v>
      </c>
      <c r="R16" s="1384">
        <v>19</v>
      </c>
      <c r="S16" s="1384">
        <v>19</v>
      </c>
      <c r="T16" s="1384">
        <v>19</v>
      </c>
      <c r="U16" s="1384">
        <v>19</v>
      </c>
      <c r="V16" s="1384">
        <v>19</v>
      </c>
      <c r="W16" s="1384">
        <v>19</v>
      </c>
      <c r="X16" s="1384">
        <v>19</v>
      </c>
      <c r="Y16" s="1384">
        <v>7</v>
      </c>
      <c r="Z16" s="1384">
        <v>3</v>
      </c>
      <c r="AA16" s="1384">
        <v>6</v>
      </c>
      <c r="AB16" s="1384">
        <v>34</v>
      </c>
      <c r="AC16" s="1384">
        <v>8</v>
      </c>
      <c r="AD16" s="1384">
        <v>8</v>
      </c>
      <c r="AE16" s="1384">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2E0223-8F34-ED07-9CC7-D06162698CA8}"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36209" width="4.140625" hidden="1" customWidth="1"/>
    <col min="4" max="4" style="34657" width="4.140625" hidden="1" customWidth="1"/>
    <col min="5" max="5" style="34580" width="3.00390625" customWidth="1"/>
    <col min="6" max="6" style="34580" width="14.00390625" customWidth="1"/>
    <col min="7" max="7" style="34580" width="3.00390625" customWidth="1"/>
    <col min="8" max="8" style="34580" width="7.00390625" customWidth="1"/>
    <col min="9" max="10" style="34580" width="16.00390625" customWidth="1"/>
    <col min="11" max="11" style="34580" width="25.00390625" customWidth="1"/>
    <col min="12" max="12" style="34580" width="7.00390625" customWidth="1"/>
    <col min="13" max="13" style="34580" width="15.00390625" customWidth="1"/>
    <col min="14" max="14" style="34580" width="3.00390625" customWidth="1"/>
    <col min="15" max="15" style="34580" width="4.00390625" customWidth="1"/>
    <col min="16" max="16" style="34580" width="8.00390625" customWidth="1"/>
    <col min="17" max="17" style="34580" width="21.00390625" customWidth="1"/>
    <col min="18" max="18" style="34580" width="14.00390625" customWidth="1"/>
    <col min="19" max="20" style="34580" width="17.00390625" customWidth="1"/>
    <col min="21" max="21" style="34580" width="9.00390625" customWidth="1"/>
    <col min="22" max="22" style="34580" width="12.00390625" customWidth="1"/>
    <col min="23" max="23" style="34580" width="9.00390625" customWidth="1"/>
    <col min="24" max="24" style="34580" width="21.00390625" customWidth="1"/>
    <col min="25" max="25" style="34580" width="12.00390625" customWidth="1"/>
    <col min="26" max="26" style="34580" width="3.00390625" customWidth="1"/>
    <col min="27" max="27" style="34580" width="6.00390625" customWidth="1"/>
    <col min="28" max="28" style="34580" width="38.00390625" customWidth="1"/>
    <col min="29" max="29" style="34580" width="15.00390625" customWidth="1"/>
    <col min="30" max="30" style="34580" width="37.57421875" hidden="1" customWidth="1"/>
    <col min="31" max="31" style="34580" width="15.7109375" hidden="1" customWidth="1"/>
    <col min="32" max="34" style="34580" width="16.00390625" customWidth="1"/>
    <col min="35" max="37" style="34580" width="16.7109375" hidden="1" customWidth="1"/>
    <col min="38" max="58" style="34580" width="8.00390625" customWidth="1"/>
    <col min="59" max="59" style="34580" width="9.140625" hidden="1"/>
  </cols>
  <sheetData>
    <row s="34657" customFormat="1" customHeight="1" ht="10.5" hidden="1">
      <c r="A1" s="1521"/>
      <c r="B1" s="1521"/>
      <c r="C1" s="1521"/>
      <c r="E1" s="1163"/>
      <c r="H1" s="1786"/>
      <c r="L1" s="1754"/>
      <c r="M1" s="1754"/>
      <c r="AD1" s="1754"/>
      <c r="AH1" s="1773"/>
      <c r="AI1" s="1766"/>
      <c r="BG1" s="1043" t="s">
        <v>14</v>
      </c>
    </row>
    <row customHeight="1" ht="10.5" hidden="1">
      <c r="BG2" s="1384">
        <v>0</v>
      </c>
    </row>
    <row s="34544" customFormat="1" customHeight="1" ht="10.5" hidden="1">
      <c r="A3" s="1521"/>
      <c r="B3" s="1521"/>
      <c r="C3" s="1521"/>
      <c r="D3" s="1043"/>
      <c r="E3" s="988"/>
      <c r="H3" s="1782"/>
      <c r="L3" s="1752"/>
      <c r="M3" s="1752"/>
      <c r="AD3" s="1752"/>
      <c r="AH3" s="1771"/>
      <c r="AI3" s="1764"/>
      <c r="BG3" s="1385">
        <v>0</v>
      </c>
    </row>
    <row customHeight="1" ht="3">
      <c r="BG4" s="1384">
        <v>3</v>
      </c>
    </row>
    <row customHeight="1" ht="27.299999999999997">
      <c r="F5" s="287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74"/>
      <c r="H5" s="2874"/>
      <c r="I5" s="2874"/>
      <c r="J5" s="2874"/>
      <c r="K5" s="2874"/>
      <c r="L5" s="1761"/>
      <c r="M5" s="1761"/>
      <c r="AG5" s="1532"/>
      <c r="AH5" s="1774"/>
      <c r="BG5" s="1384">
        <v>26</v>
      </c>
    </row>
    <row customHeight="1" ht="10.5">
      <c r="F6" s="2802" t="str">
        <f>IF(org=0,"Не определено",org)</f>
        <v>АО "ДГК"</v>
      </c>
      <c r="G6" s="2802"/>
      <c r="H6" s="2802"/>
      <c r="I6" s="2802"/>
      <c r="J6" s="2802"/>
      <c r="K6" s="2802"/>
      <c r="L6" s="1762"/>
      <c r="M6" s="1762"/>
      <c r="BG6" s="1384">
        <v>10</v>
      </c>
    </row>
    <row customHeight="1" ht="11.549999999999999">
      <c r="E7" s="1534"/>
      <c r="F7" s="1545"/>
      <c r="G7" s="1545"/>
      <c r="H7" s="1810"/>
      <c r="I7" s="1545"/>
      <c r="J7" s="1545"/>
      <c r="K7" s="1547"/>
      <c r="L7" s="1759"/>
      <c r="M7" s="1759"/>
      <c r="N7" s="1545"/>
      <c r="O7" s="1545"/>
      <c r="P7" s="1545"/>
      <c r="Q7" s="1547"/>
      <c r="R7" s="1545"/>
      <c r="S7" s="1545"/>
      <c r="T7" s="1545"/>
      <c r="U7" s="1545"/>
      <c r="V7" s="1545"/>
      <c r="W7" s="1545"/>
      <c r="X7" s="1545"/>
      <c r="Y7" s="1545"/>
      <c r="Z7" s="1545"/>
      <c r="AA7" s="1545"/>
      <c r="AB7" s="1545"/>
      <c r="AC7" s="1546"/>
      <c r="AD7" s="1758"/>
      <c r="AE7" s="1546"/>
      <c r="AF7" s="1545"/>
      <c r="AG7" s="1545"/>
      <c r="AH7" s="1776"/>
      <c r="AI7" s="1769"/>
      <c r="AJ7" s="1545"/>
      <c r="AK7" s="1545"/>
      <c r="AL7" s="1536"/>
      <c r="AM7" s="1536"/>
      <c r="AN7" s="1536"/>
      <c r="AO7" s="1533"/>
      <c r="AP7" s="1533"/>
      <c r="AQ7" s="1533"/>
      <c r="AR7" s="1533"/>
      <c r="AS7" s="1533"/>
      <c r="AT7" s="1533"/>
      <c r="AU7" s="1533"/>
      <c r="AV7" s="1533"/>
      <c r="AW7" s="1533"/>
      <c r="AX7" s="1533"/>
      <c r="AY7" s="1533"/>
      <c r="AZ7" s="1533"/>
      <c r="BA7" s="1533"/>
      <c r="BB7" s="1533"/>
      <c r="BC7" s="1533"/>
      <c r="BD7" s="1533"/>
      <c r="BE7" s="1533"/>
      <c r="BF7" s="1533"/>
      <c r="BG7" s="1384">
        <v>11</v>
      </c>
    </row>
    <row customHeight="1" ht="10.5">
      <c r="E8" s="1534"/>
      <c r="F8" s="3041" t="s">
        <v>318</v>
      </c>
      <c r="G8" s="3042"/>
      <c r="H8" s="3042"/>
      <c r="I8" s="3042"/>
      <c r="J8" s="3042"/>
      <c r="K8" s="3042"/>
      <c r="L8" s="3042"/>
      <c r="M8" s="3042"/>
      <c r="N8" s="3042"/>
      <c r="O8" s="3042"/>
      <c r="P8" s="3042"/>
      <c r="Q8" s="3042"/>
      <c r="R8" s="3042"/>
      <c r="S8" s="3042"/>
      <c r="T8" s="3042"/>
      <c r="U8" s="3042"/>
      <c r="V8" s="3042"/>
      <c r="W8" s="3042"/>
      <c r="X8" s="3042"/>
      <c r="Y8" s="3042"/>
      <c r="Z8" s="3042"/>
      <c r="AA8" s="3042"/>
      <c r="AB8" s="3042"/>
      <c r="AC8" s="3042"/>
      <c r="AD8" s="3042"/>
      <c r="AE8" s="3042"/>
      <c r="AF8" s="3042"/>
      <c r="AG8" s="3042"/>
      <c r="AH8" s="3042"/>
      <c r="AI8" s="3042"/>
      <c r="AJ8" s="3042"/>
      <c r="AK8" s="3043"/>
      <c r="AL8" s="1535"/>
      <c r="AM8" s="1533"/>
      <c r="AN8" s="1533"/>
      <c r="AO8" s="1533"/>
      <c r="AP8" s="1533"/>
      <c r="AQ8" s="1533"/>
      <c r="AR8" s="1533"/>
      <c r="AS8" s="1533"/>
      <c r="AT8" s="1533"/>
      <c r="AU8" s="1533"/>
      <c r="AV8" s="1533"/>
      <c r="AW8" s="1533"/>
      <c r="AX8" s="1533"/>
      <c r="AY8" s="1533"/>
      <c r="AZ8" s="1533"/>
      <c r="BA8" s="1533"/>
      <c r="BB8" s="1533"/>
      <c r="BC8" s="1533"/>
      <c r="BD8" s="1533"/>
      <c r="BE8" s="1533"/>
      <c r="BF8" s="1533"/>
      <c r="BG8" s="1384">
        <v>10</v>
      </c>
    </row>
    <row customHeight="1" ht="24">
      <c r="A9" s="1531"/>
      <c r="B9" s="1531"/>
      <c r="C9" s="1531"/>
      <c r="E9" s="1534"/>
      <c r="F9" s="3034" t="s">
        <v>1167</v>
      </c>
      <c r="G9" s="3035" t="s">
        <v>1168</v>
      </c>
      <c r="H9" s="3036"/>
      <c r="I9" s="2753" t="s">
        <v>1169</v>
      </c>
      <c r="J9" s="2753"/>
      <c r="K9" s="2753" t="s">
        <v>1170</v>
      </c>
      <c r="L9" s="2753"/>
      <c r="M9" s="2753"/>
      <c r="N9" s="2753"/>
      <c r="O9" s="2753"/>
      <c r="P9" s="2753"/>
      <c r="Q9" s="2753"/>
      <c r="R9" s="2753"/>
      <c r="S9" s="2753"/>
      <c r="T9" s="2753"/>
      <c r="U9" s="2753"/>
      <c r="V9" s="2753"/>
      <c r="W9" s="2753"/>
      <c r="X9" s="2753"/>
      <c r="Y9" s="2753"/>
      <c r="Z9" s="2818" t="s">
        <v>1171</v>
      </c>
      <c r="AA9" s="2819"/>
      <c r="AB9" s="2753" t="s">
        <v>1172</v>
      </c>
      <c r="AC9" s="2753"/>
      <c r="AD9" s="2753"/>
      <c r="AE9" s="2753"/>
      <c r="AF9" s="2801" t="s">
        <v>1173</v>
      </c>
      <c r="AG9" s="2753" t="s">
        <v>1174</v>
      </c>
      <c r="AH9" s="2753"/>
      <c r="AI9" s="2801" t="s">
        <v>1175</v>
      </c>
      <c r="AJ9" s="2753" t="s">
        <v>1176</v>
      </c>
      <c r="AK9" s="2753"/>
      <c r="AL9" s="1768"/>
      <c r="AM9" s="1533"/>
      <c r="AN9" s="1533"/>
      <c r="AO9" s="1533"/>
      <c r="AP9" s="1533"/>
      <c r="AQ9" s="1533"/>
      <c r="AR9" s="1533"/>
      <c r="AS9" s="1533"/>
      <c r="AT9" s="1533"/>
      <c r="AU9" s="1533"/>
      <c r="AV9" s="1533"/>
      <c r="AW9" s="1533"/>
      <c r="AX9" s="1533"/>
      <c r="AY9" s="1533"/>
      <c r="AZ9" s="1533"/>
      <c r="BA9" s="1533"/>
      <c r="BB9" s="1533"/>
      <c r="BC9" s="1533"/>
      <c r="BD9" s="1533"/>
      <c r="BE9" s="1533"/>
      <c r="BF9" s="1533"/>
      <c r="BG9" s="1384">
        <v>23</v>
      </c>
    </row>
    <row customHeight="1" ht="25.2">
      <c r="A10" s="1531"/>
      <c r="B10" s="1531"/>
      <c r="C10" s="1531"/>
      <c r="E10" s="1538"/>
      <c r="F10" s="3034"/>
      <c r="G10" s="3037"/>
      <c r="H10" s="3038"/>
      <c r="I10" s="2753"/>
      <c r="J10" s="2753"/>
      <c r="K10" s="2753" t="s">
        <v>1177</v>
      </c>
      <c r="L10" s="2727" t="s">
        <v>1178</v>
      </c>
      <c r="M10" s="2729"/>
      <c r="N10" s="2753" t="s">
        <v>1179</v>
      </c>
      <c r="O10" s="2753"/>
      <c r="P10" s="2753"/>
      <c r="Q10" s="2753"/>
      <c r="R10" s="2753"/>
      <c r="S10" s="2753"/>
      <c r="T10" s="2753"/>
      <c r="U10" s="2753"/>
      <c r="V10" s="2753"/>
      <c r="W10" s="2753"/>
      <c r="X10" s="2753"/>
      <c r="Y10" s="2753"/>
      <c r="Z10" s="2820"/>
      <c r="AA10" s="2821"/>
      <c r="AB10" s="2753"/>
      <c r="AC10" s="2753"/>
      <c r="AD10" s="2753"/>
      <c r="AE10" s="2753"/>
      <c r="AF10" s="2825"/>
      <c r="AG10" s="2753"/>
      <c r="AH10" s="2753"/>
      <c r="AI10" s="2825"/>
      <c r="AJ10" s="2753"/>
      <c r="AK10" s="2753"/>
      <c r="AL10" s="1768"/>
      <c r="AM10" s="1539"/>
      <c r="AN10" s="1539"/>
      <c r="AO10" s="1539"/>
      <c r="AP10" s="1539"/>
      <c r="AQ10" s="1539"/>
      <c r="AR10" s="1539"/>
      <c r="AS10" s="1539"/>
      <c r="AT10" s="1539"/>
      <c r="AU10" s="1539"/>
      <c r="AV10" s="1539"/>
      <c r="AW10" s="1539"/>
      <c r="AX10" s="1539"/>
      <c r="AY10" s="1539"/>
      <c r="AZ10" s="1539"/>
      <c r="BA10" s="1539"/>
      <c r="BB10" s="1539"/>
      <c r="BC10" s="1539"/>
      <c r="BD10" s="1539"/>
      <c r="BE10" s="1539"/>
      <c r="BF10" s="1539"/>
      <c r="BG10" s="1384">
        <v>24</v>
      </c>
    </row>
    <row s="34580" customFormat="1" customHeight="1" ht="25.2">
      <c r="A11" s="1755"/>
      <c r="B11" s="1755"/>
      <c r="C11" s="1755"/>
      <c r="D11" s="1754"/>
      <c r="E11" s="1756"/>
      <c r="F11" s="3034"/>
      <c r="G11" s="3037"/>
      <c r="H11" s="3038"/>
      <c r="I11" s="2753"/>
      <c r="J11" s="2753"/>
      <c r="K11" s="2753"/>
      <c r="L11" s="2801" t="s">
        <v>1180</v>
      </c>
      <c r="M11" s="2801" t="s">
        <v>1181</v>
      </c>
      <c r="N11" s="2753" t="s">
        <v>1182</v>
      </c>
      <c r="O11" s="2753"/>
      <c r="P11" s="3044" t="s">
        <v>1163</v>
      </c>
      <c r="Q11" s="3044" t="s">
        <v>1183</v>
      </c>
      <c r="R11" s="3044" t="s">
        <v>1184</v>
      </c>
      <c r="S11" s="3044" t="s">
        <v>1185</v>
      </c>
      <c r="T11" s="3044"/>
      <c r="U11" s="3044"/>
      <c r="V11" s="3044"/>
      <c r="W11" s="3044"/>
      <c r="X11" s="3044"/>
      <c r="Y11" s="3044"/>
      <c r="Z11" s="2820"/>
      <c r="AA11" s="2821"/>
      <c r="AB11" s="2753" t="s">
        <v>1186</v>
      </c>
      <c r="AC11" s="2753"/>
      <c r="AD11" s="2727" t="s">
        <v>1187</v>
      </c>
      <c r="AE11" s="2729"/>
      <c r="AF11" s="2825"/>
      <c r="AG11" s="2753"/>
      <c r="AH11" s="2753"/>
      <c r="AI11" s="2825"/>
      <c r="AJ11" s="2753"/>
      <c r="AK11" s="2753"/>
      <c r="AL11" s="1768"/>
      <c r="AM11" s="1753"/>
      <c r="AN11" s="1753"/>
      <c r="AO11" s="1753"/>
      <c r="AP11" s="1753"/>
      <c r="AQ11" s="1753"/>
      <c r="AR11" s="1753"/>
      <c r="AS11" s="1753"/>
      <c r="AT11" s="1753"/>
      <c r="AU11" s="1753"/>
      <c r="AV11" s="1753"/>
      <c r="AW11" s="1753"/>
      <c r="AX11" s="1753"/>
      <c r="AY11" s="1753"/>
      <c r="AZ11" s="1753"/>
      <c r="BA11" s="1753"/>
      <c r="BB11" s="1753"/>
      <c r="BC11" s="1753"/>
      <c r="BD11" s="1753"/>
      <c r="BE11" s="1753"/>
      <c r="BF11" s="1753"/>
      <c r="BG11" s="1751">
        <v>24</v>
      </c>
    </row>
    <row customHeight="1" ht="35.699999999999996">
      <c r="A12" s="1531"/>
      <c r="B12" s="1531"/>
      <c r="C12" s="1531"/>
      <c r="E12" s="1534"/>
      <c r="F12" s="3034"/>
      <c r="G12" s="3039"/>
      <c r="H12" s="3040"/>
      <c r="I12" s="1779" t="s">
        <v>89</v>
      </c>
      <c r="J12" s="1779" t="s">
        <v>1188</v>
      </c>
      <c r="K12" s="2753"/>
      <c r="L12" s="2858"/>
      <c r="M12" s="2858"/>
      <c r="N12" s="2753"/>
      <c r="O12" s="2753"/>
      <c r="P12" s="3044"/>
      <c r="Q12" s="3044"/>
      <c r="R12" s="3044"/>
      <c r="S12" s="1760" t="s">
        <v>86</v>
      </c>
      <c r="T12" s="1760" t="s">
        <v>87</v>
      </c>
      <c r="U12" s="1760" t="s">
        <v>85</v>
      </c>
      <c r="V12" s="1760" t="s">
        <v>1189</v>
      </c>
      <c r="W12" s="1760" t="s">
        <v>85</v>
      </c>
      <c r="X12" s="1760" t="s">
        <v>1190</v>
      </c>
      <c r="Y12" s="1760" t="s">
        <v>1191</v>
      </c>
      <c r="Z12" s="2826"/>
      <c r="AA12" s="2827"/>
      <c r="AB12" s="1767" t="s">
        <v>1192</v>
      </c>
      <c r="AC12" s="1767" t="s">
        <v>1193</v>
      </c>
      <c r="AD12" s="1767" t="s">
        <v>1192</v>
      </c>
      <c r="AE12" s="1767" t="s">
        <v>1193</v>
      </c>
      <c r="AF12" s="2858"/>
      <c r="AG12" s="1780" t="s">
        <v>1194</v>
      </c>
      <c r="AH12" s="1780" t="s">
        <v>1195</v>
      </c>
      <c r="AI12" s="2858"/>
      <c r="AJ12" s="1780" t="s">
        <v>1194</v>
      </c>
      <c r="AK12" s="1780" t="s">
        <v>1195</v>
      </c>
      <c r="AL12" s="1768"/>
      <c r="AM12" s="1533"/>
      <c r="AN12" s="1533"/>
      <c r="AO12" s="1533"/>
      <c r="AP12" s="1533"/>
      <c r="AQ12" s="1533"/>
      <c r="AR12" s="1533"/>
      <c r="AS12" s="1533"/>
      <c r="AT12" s="1533"/>
      <c r="AU12" s="1533"/>
      <c r="AV12" s="1533"/>
      <c r="AW12" s="1533"/>
      <c r="AX12" s="1533"/>
      <c r="AY12" s="1533"/>
      <c r="AZ12" s="1533"/>
      <c r="BA12" s="1533"/>
      <c r="BB12" s="1533"/>
      <c r="BC12" s="1533"/>
      <c r="BD12" s="1533"/>
      <c r="BE12" s="1533"/>
      <c r="BF12" s="1533"/>
      <c r="BG12" s="1384">
        <v>34</v>
      </c>
    </row>
    <row customHeight="1" ht="1.05">
      <c r="E13" s="1534"/>
      <c r="F13" s="1750">
        <v>0</v>
      </c>
      <c r="G13" s="1750"/>
      <c r="H13" s="1750"/>
      <c r="I13" s="1750"/>
      <c r="J13" s="1750"/>
      <c r="K13" s="1757"/>
      <c r="L13" s="1757"/>
      <c r="M13" s="1757"/>
      <c r="N13" s="1757"/>
      <c r="O13" s="1757"/>
      <c r="P13" s="1757"/>
      <c r="Q13" s="1757"/>
      <c r="R13" s="1757"/>
      <c r="S13" s="1757"/>
      <c r="T13" s="1757"/>
      <c r="U13" s="1757"/>
      <c r="V13" s="1757"/>
      <c r="W13" s="1757"/>
      <c r="X13" s="1757"/>
      <c r="Y13" s="1757"/>
      <c r="Z13" s="1757"/>
      <c r="AA13" s="1757"/>
      <c r="AB13" s="1757"/>
      <c r="AC13" s="1757"/>
      <c r="AD13" s="1757"/>
      <c r="AE13" s="1757"/>
      <c r="AF13" s="1757"/>
      <c r="AG13" s="1757"/>
      <c r="AH13" s="1775"/>
      <c r="AI13" s="1768"/>
      <c r="AJ13" s="1757"/>
      <c r="AK13" s="1757"/>
      <c r="AL13" s="1535"/>
      <c r="AM13" s="1533"/>
      <c r="AN13" s="1533"/>
      <c r="AO13" s="1533"/>
      <c r="AP13" s="1533"/>
      <c r="AQ13" s="1533"/>
      <c r="AR13" s="1533"/>
      <c r="AS13" s="1533"/>
      <c r="AT13" s="1533"/>
      <c r="AU13" s="1533"/>
      <c r="AV13" s="1533"/>
      <c r="AW13" s="1533"/>
      <c r="AX13" s="1533"/>
      <c r="AY13" s="1533"/>
      <c r="AZ13" s="1533"/>
      <c r="BA13" s="1533"/>
      <c r="BB13" s="1533"/>
      <c r="BC13" s="1533"/>
      <c r="BD13" s="1533"/>
      <c r="BE13" s="1533"/>
      <c r="BF13" s="1533"/>
      <c r="BG13" s="1384">
        <v>1</v>
      </c>
    </row>
    <row customHeight="1" ht="10.5">
      <c r="E14" s="1533"/>
      <c r="F14" s="1544"/>
      <c r="G14" s="1544"/>
      <c r="H14" s="1798"/>
      <c r="I14" s="1544"/>
      <c r="J14" s="1544"/>
      <c r="K14" s="1544"/>
      <c r="L14" s="1757"/>
      <c r="M14" s="1757"/>
      <c r="N14" s="1544"/>
      <c r="O14" s="1544"/>
      <c r="P14" s="1544"/>
      <c r="Q14" s="1544"/>
      <c r="R14" s="1544"/>
      <c r="S14" s="1544"/>
      <c r="T14" s="1544"/>
      <c r="U14" s="1544"/>
      <c r="V14" s="1544"/>
      <c r="W14" s="1544"/>
      <c r="X14" s="1544"/>
      <c r="Y14" s="1544"/>
      <c r="Z14" s="1544"/>
      <c r="AA14" s="1544"/>
      <c r="AB14" s="1544"/>
      <c r="AC14" s="1544"/>
      <c r="AD14" s="1757"/>
      <c r="AE14" s="1544"/>
      <c r="AF14" s="1544"/>
      <c r="AG14" s="1544"/>
      <c r="AH14" s="1775"/>
      <c r="AI14" s="1768"/>
      <c r="AJ14" s="1544"/>
      <c r="AK14" s="1544"/>
      <c r="AL14" s="1533"/>
      <c r="AM14" s="1533"/>
      <c r="AN14" s="1533"/>
      <c r="AO14" s="1533"/>
      <c r="AP14" s="1533"/>
      <c r="AQ14" s="1533"/>
      <c r="AR14" s="1533"/>
      <c r="AS14" s="1533"/>
      <c r="AT14" s="1533"/>
      <c r="AU14" s="1533"/>
      <c r="AV14" s="1533"/>
      <c r="AW14" s="1533"/>
      <c r="AX14" s="1533"/>
      <c r="AY14" s="1533"/>
      <c r="AZ14" s="1533"/>
      <c r="BA14" s="1533"/>
      <c r="BB14" s="1533"/>
      <c r="BC14" s="1533"/>
      <c r="BD14" s="1533"/>
      <c r="BE14" s="1533"/>
      <c r="BF14" s="1533"/>
      <c r="BG14" s="1384">
        <v>10</v>
      </c>
    </row>
    <row customHeight="1" ht="13.5">
      <c r="E15" s="1533"/>
      <c r="F15" s="1540" t="s">
        <v>1196</v>
      </c>
      <c r="G15" s="1540"/>
      <c r="H15" s="1797"/>
      <c r="I15" s="1540"/>
      <c r="J15" s="1540"/>
      <c r="K15" s="1537"/>
      <c r="L15" s="1753"/>
      <c r="M15" s="1753"/>
      <c r="N15" s="1539"/>
      <c r="O15" s="1539"/>
      <c r="P15" s="1539"/>
      <c r="Q15" s="1539"/>
      <c r="R15" s="1539"/>
      <c r="S15" s="1539"/>
      <c r="T15" s="1539"/>
      <c r="U15" s="1539"/>
      <c r="V15" s="1539"/>
      <c r="W15" s="1539"/>
      <c r="X15" s="1539"/>
      <c r="Y15" s="1539"/>
      <c r="Z15" s="1537"/>
      <c r="AA15" s="1537"/>
      <c r="AB15" s="1537"/>
      <c r="AC15" s="1537"/>
      <c r="AD15" s="1753"/>
      <c r="AE15" s="1537"/>
      <c r="AF15" s="1537"/>
      <c r="AG15" s="1537"/>
      <c r="AH15" s="1772"/>
      <c r="AI15" s="1765"/>
      <c r="AJ15" s="1537"/>
      <c r="AK15" s="1537"/>
      <c r="AL15" s="1533"/>
      <c r="AM15" s="1533"/>
      <c r="AN15" s="1533"/>
      <c r="AO15" s="1533"/>
      <c r="AP15" s="1533"/>
      <c r="AQ15" s="1533"/>
      <c r="AR15" s="1533"/>
      <c r="AS15" s="1533"/>
      <c r="AT15" s="1533"/>
      <c r="AU15" s="1533"/>
      <c r="AV15" s="1533"/>
      <c r="AW15" s="1533"/>
      <c r="AX15" s="1533"/>
      <c r="AY15" s="1533"/>
      <c r="AZ15" s="1533"/>
      <c r="BA15" s="1533"/>
      <c r="BB15" s="1533"/>
      <c r="BC15" s="1533"/>
      <c r="BD15" s="1533"/>
      <c r="BE15" s="1533"/>
      <c r="BF15" s="1533"/>
      <c r="BG15" s="1384">
        <v>13</v>
      </c>
    </row>
    <row customHeight="1" ht="10.5">
      <c r="BG16" s="1384">
        <v>10</v>
      </c>
    </row>
    <row customHeight="1" ht="10.5">
      <c r="E17" s="1533"/>
      <c r="F17" s="3033"/>
      <c r="G17" s="3033"/>
      <c r="H17" s="3033"/>
      <c r="I17" s="3033"/>
      <c r="J17" s="3033"/>
      <c r="K17" s="1537"/>
      <c r="L17" s="1753"/>
      <c r="M17" s="1753"/>
      <c r="N17" s="1539"/>
      <c r="O17" s="1539"/>
      <c r="P17" s="1539"/>
      <c r="Q17" s="1539"/>
      <c r="R17" s="1539"/>
      <c r="S17" s="1539"/>
      <c r="T17" s="1539"/>
      <c r="U17" s="1539"/>
      <c r="V17" s="1539"/>
      <c r="W17" s="1539"/>
      <c r="X17" s="1539"/>
      <c r="Y17" s="1539"/>
      <c r="Z17" s="1537"/>
      <c r="AA17" s="1537"/>
      <c r="AB17" s="1537"/>
      <c r="AC17" s="1537"/>
      <c r="AD17" s="1753"/>
      <c r="AE17" s="1537"/>
      <c r="AF17" s="1537"/>
      <c r="AG17" s="1537"/>
      <c r="AH17" s="1772"/>
      <c r="AI17" s="1765"/>
      <c r="AJ17" s="1537"/>
      <c r="AK17" s="1537"/>
      <c r="AL17" s="1533"/>
      <c r="AM17" s="1533"/>
      <c r="AN17" s="1533"/>
      <c r="AO17" s="1533"/>
      <c r="AP17" s="1533"/>
      <c r="AQ17" s="1533"/>
      <c r="AR17" s="1533"/>
      <c r="AS17" s="1533"/>
      <c r="AT17" s="1533"/>
      <c r="AU17" s="1533"/>
      <c r="AV17" s="1533"/>
      <c r="AW17" s="1533"/>
      <c r="AX17" s="1533"/>
      <c r="AY17" s="1533"/>
      <c r="AZ17" s="1533"/>
      <c r="BA17" s="1533"/>
      <c r="BB17" s="1533"/>
      <c r="BC17" s="1533"/>
      <c r="BD17" s="1533"/>
      <c r="BE17" s="1533"/>
      <c r="BF17" s="1533"/>
      <c r="BG17" s="1384">
        <v>10</v>
      </c>
    </row>
    <row customHeight="1" ht="10.5">
      <c r="E18" s="1533"/>
      <c r="F18" s="3033"/>
      <c r="G18" s="3033"/>
      <c r="H18" s="3033"/>
      <c r="I18" s="3033"/>
      <c r="J18" s="3033"/>
      <c r="K18" s="1537"/>
      <c r="L18" s="1753"/>
      <c r="M18" s="1753"/>
      <c r="N18" s="1539"/>
      <c r="O18" s="1539"/>
      <c r="P18" s="1539"/>
      <c r="Q18" s="1539"/>
      <c r="R18" s="1539"/>
      <c r="S18" s="1539"/>
      <c r="T18" s="1539"/>
      <c r="U18" s="1539"/>
      <c r="V18" s="1539"/>
      <c r="W18" s="1539"/>
      <c r="X18" s="1539"/>
      <c r="Y18" s="1539"/>
      <c r="Z18" s="1537"/>
      <c r="AA18" s="1537"/>
      <c r="AB18" s="1537"/>
      <c r="AC18" s="1537"/>
      <c r="AD18" s="1753"/>
      <c r="AE18" s="1537"/>
      <c r="AF18" s="1537"/>
      <c r="AG18" s="1537"/>
      <c r="AH18" s="1772"/>
      <c r="AI18" s="1765"/>
      <c r="AJ18" s="1537"/>
      <c r="AK18" s="1537"/>
      <c r="AL18" s="1533"/>
      <c r="AM18" s="1533"/>
      <c r="AN18" s="1533"/>
      <c r="AO18" s="1533"/>
      <c r="AP18" s="1533"/>
      <c r="AQ18" s="1533"/>
      <c r="AR18" s="1533"/>
      <c r="AS18" s="1533"/>
      <c r="AT18" s="1533"/>
      <c r="AU18" s="1533"/>
      <c r="AV18" s="1533"/>
      <c r="AW18" s="1533"/>
      <c r="AX18" s="1533"/>
      <c r="AY18" s="1533"/>
      <c r="AZ18" s="1533"/>
      <c r="BA18" s="1533"/>
      <c r="BB18" s="1533"/>
      <c r="BC18" s="1533"/>
      <c r="BD18" s="1533"/>
      <c r="BE18" s="1533"/>
      <c r="BF18" s="1533"/>
      <c r="BG18" s="1384">
        <v>10</v>
      </c>
    </row>
    <row customHeight="1" ht="10.5">
      <c r="E19" s="1533"/>
      <c r="F19" s="3033"/>
      <c r="G19" s="3033"/>
      <c r="H19" s="3033"/>
      <c r="I19" s="3033"/>
      <c r="J19" s="3033"/>
      <c r="K19" s="1537"/>
      <c r="L19" s="1753"/>
      <c r="M19" s="1753"/>
      <c r="N19" s="1539"/>
      <c r="O19" s="1539"/>
      <c r="P19" s="1539"/>
      <c r="Q19" s="1539"/>
      <c r="R19" s="1539"/>
      <c r="S19" s="1539"/>
      <c r="T19" s="1539"/>
      <c r="U19" s="1539"/>
      <c r="V19" s="1539"/>
      <c r="W19" s="1539"/>
      <c r="X19" s="1539"/>
      <c r="Y19" s="1539"/>
      <c r="Z19" s="1537"/>
      <c r="AA19" s="1537"/>
      <c r="AB19" s="1537"/>
      <c r="AC19" s="1537"/>
      <c r="AD19" s="1753"/>
      <c r="AE19" s="1537"/>
      <c r="AF19" s="1537"/>
      <c r="AG19" s="1537"/>
      <c r="AH19" s="1772"/>
      <c r="AI19" s="1765"/>
      <c r="AJ19" s="1537"/>
      <c r="AK19" s="1537"/>
      <c r="AL19" s="1533"/>
      <c r="AM19" s="1533"/>
      <c r="AN19" s="1533"/>
      <c r="AO19" s="1533"/>
      <c r="AP19" s="1533"/>
      <c r="AQ19" s="1533"/>
      <c r="AR19" s="1533"/>
      <c r="AS19" s="1533"/>
      <c r="AT19" s="1533"/>
      <c r="AU19" s="1533"/>
      <c r="AV19" s="1533"/>
      <c r="AW19" s="1533"/>
      <c r="AX19" s="1533"/>
      <c r="AY19" s="1533"/>
      <c r="AZ19" s="1533"/>
      <c r="BA19" s="1533"/>
      <c r="BB19" s="1533"/>
      <c r="BC19" s="1533"/>
      <c r="BD19" s="1533"/>
      <c r="BE19" s="1533"/>
      <c r="BF19" s="1533"/>
      <c r="BG19" s="1384">
        <v>10</v>
      </c>
    </row>
    <row customHeight="1" ht="10.5" hidden="1">
      <c r="A20" s="1521" t="s">
        <v>82</v>
      </c>
      <c r="B20" s="1521">
        <v>0</v>
      </c>
      <c r="C20" s="1521">
        <v>0</v>
      </c>
      <c r="D20" s="1043">
        <v>0</v>
      </c>
      <c r="E20" s="1135">
        <v>3</v>
      </c>
      <c r="F20" s="1384">
        <v>14</v>
      </c>
      <c r="G20" s="1384">
        <v>3</v>
      </c>
      <c r="H20" s="1781">
        <v>7</v>
      </c>
      <c r="I20" s="1384">
        <v>16</v>
      </c>
      <c r="J20" s="1384">
        <v>16</v>
      </c>
      <c r="K20" s="1384">
        <v>25</v>
      </c>
      <c r="L20" s="1751">
        <v>7</v>
      </c>
      <c r="M20" s="1751">
        <v>15</v>
      </c>
      <c r="N20" s="1384">
        <v>3</v>
      </c>
      <c r="O20" s="1384">
        <v>4</v>
      </c>
      <c r="P20" s="1384">
        <v>8</v>
      </c>
      <c r="Q20" s="1384">
        <v>21</v>
      </c>
      <c r="R20" s="1384">
        <v>14</v>
      </c>
      <c r="S20" s="1384">
        <v>17</v>
      </c>
      <c r="T20" s="1384">
        <v>17</v>
      </c>
      <c r="U20" s="1384">
        <v>9</v>
      </c>
      <c r="V20" s="1384">
        <v>12</v>
      </c>
      <c r="W20" s="1384">
        <v>9</v>
      </c>
      <c r="X20" s="1384">
        <v>21</v>
      </c>
      <c r="Y20" s="1384">
        <v>12</v>
      </c>
      <c r="Z20" s="1384">
        <v>3</v>
      </c>
      <c r="AA20" s="1384">
        <v>6</v>
      </c>
      <c r="AB20" s="1384">
        <v>38</v>
      </c>
      <c r="AC20" s="1384">
        <v>15</v>
      </c>
      <c r="AD20" s="1751">
        <v>0</v>
      </c>
      <c r="AE20" s="1384">
        <v>0</v>
      </c>
      <c r="AF20" s="1384">
        <v>16</v>
      </c>
      <c r="AG20" s="1384">
        <v>16</v>
      </c>
      <c r="AH20" s="1770">
        <v>16</v>
      </c>
      <c r="AI20" s="1763">
        <v>0</v>
      </c>
      <c r="AJ20" s="1384">
        <v>0</v>
      </c>
      <c r="AK20" s="1384">
        <v>0</v>
      </c>
      <c r="AL20" s="1384">
        <v>8</v>
      </c>
      <c r="AM20" s="1384">
        <v>8</v>
      </c>
      <c r="AN20" s="1384">
        <v>8</v>
      </c>
      <c r="AO20" s="1384">
        <v>8</v>
      </c>
      <c r="AP20" s="1384">
        <v>8</v>
      </c>
      <c r="AQ20" s="1384">
        <v>8</v>
      </c>
      <c r="AR20" s="1384">
        <v>8</v>
      </c>
      <c r="AS20" s="1384">
        <v>8</v>
      </c>
      <c r="AT20" s="1384">
        <v>8</v>
      </c>
      <c r="AU20" s="1384">
        <v>8</v>
      </c>
      <c r="AV20" s="1384">
        <v>8</v>
      </c>
      <c r="AW20" s="1384">
        <v>8</v>
      </c>
      <c r="AX20" s="1384">
        <v>8</v>
      </c>
      <c r="AY20" s="1384">
        <v>8</v>
      </c>
      <c r="AZ20" s="1384">
        <v>8</v>
      </c>
      <c r="BA20" s="1384">
        <v>8</v>
      </c>
      <c r="BB20" s="1384">
        <v>8</v>
      </c>
      <c r="BC20" s="1384">
        <v>8</v>
      </c>
      <c r="BD20" s="1384">
        <v>8</v>
      </c>
      <c r="BE20" s="1384">
        <v>8</v>
      </c>
      <c r="BF20" s="1384">
        <v>8</v>
      </c>
      <c r="BG20" s="1384">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9DAB91-DEDF-A20C-91DE-5BA5647596CD}"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36209" width="4.140625" hidden="1" customWidth="1"/>
    <col min="4" max="4" style="34657" width="4.140625" hidden="1" customWidth="1"/>
    <col min="5" max="5" style="34580" width="3.00390625" customWidth="1"/>
    <col min="6" max="6" style="34580" width="6.00390625" customWidth="1"/>
    <col min="7" max="7" style="34580" width="60.00390625" customWidth="1"/>
    <col min="8" max="9" style="34580" width="21.7109375" hidden="1" customWidth="1"/>
    <col min="10" max="10" style="34580" width="0.140625" customWidth="1"/>
    <col min="11" max="11" style="34580" width="1.00390625" customWidth="1"/>
    <col min="12" max="22" style="34580" width="8.00390625" customWidth="1"/>
    <col min="23" max="23" style="34580" width="9.140625" hidden="1"/>
  </cols>
  <sheetData>
    <row s="34657" customFormat="1" customHeight="1" ht="10.5" hidden="1">
      <c r="A1" s="1792"/>
      <c r="B1" s="1792"/>
      <c r="C1" s="1792"/>
      <c r="E1" s="1163"/>
      <c r="W1" s="1786" t="s">
        <v>14</v>
      </c>
    </row>
    <row customHeight="1" ht="10.5" hidden="1">
      <c r="W2" s="1781">
        <v>0</v>
      </c>
    </row>
    <row s="34544" customFormat="1" customHeight="1" ht="10.5" hidden="1">
      <c r="A3" s="1792"/>
      <c r="B3" s="1792"/>
      <c r="C3" s="1792"/>
      <c r="D3" s="1786"/>
      <c r="E3" s="988"/>
      <c r="W3" s="1782">
        <v>0</v>
      </c>
    </row>
    <row customHeight="1" ht="3">
      <c r="W4" s="1781">
        <v>3</v>
      </c>
    </row>
    <row customHeight="1" ht="27.299999999999997">
      <c r="F5" s="287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874"/>
      <c r="H5" s="2874"/>
      <c r="I5" s="2874"/>
      <c r="J5" s="2874"/>
      <c r="W5" s="1781">
        <v>26</v>
      </c>
    </row>
    <row customHeight="1" ht="10.5">
      <c r="F6" s="2802" t="str">
        <f>IF(org=0,"Не определено",org)</f>
        <v>АО "ДГК"</v>
      </c>
      <c r="G6" s="2802"/>
      <c r="H6" s="2802"/>
      <c r="I6" s="2802"/>
      <c r="J6" s="2802"/>
      <c r="W6" s="1781">
        <v>10</v>
      </c>
    </row>
    <row customHeight="1" ht="11.549999999999999">
      <c r="E7" s="1796"/>
      <c r="F7" s="1853"/>
      <c r="G7" s="1853"/>
      <c r="H7" s="1853"/>
      <c r="I7" s="1853"/>
      <c r="J7" s="1853"/>
      <c r="K7" s="1783"/>
      <c r="L7" s="1783"/>
      <c r="M7" s="1783"/>
      <c r="N7" s="1783"/>
      <c r="O7" s="1783"/>
      <c r="P7" s="1783"/>
      <c r="Q7" s="1783"/>
      <c r="R7" s="1783"/>
      <c r="S7" s="1783"/>
      <c r="T7" s="1783"/>
      <c r="U7" s="1783"/>
      <c r="V7" s="1783"/>
      <c r="W7" s="1781">
        <v>11</v>
      </c>
    </row>
    <row s="34658" customFormat="1" customHeight="1" ht="4.2">
      <c r="A8" s="1793"/>
      <c r="B8" s="1793"/>
      <c r="C8" s="1793"/>
      <c r="E8" s="1854"/>
      <c r="F8" s="1855"/>
      <c r="G8" s="1855"/>
      <c r="H8" s="1855"/>
      <c r="I8" s="1855"/>
      <c r="J8" s="1855"/>
      <c r="K8" s="1854"/>
      <c r="L8" s="1854"/>
      <c r="M8" s="1854"/>
      <c r="N8" s="1854"/>
      <c r="O8" s="1854"/>
      <c r="P8" s="1854"/>
      <c r="Q8" s="1854"/>
      <c r="R8" s="1854"/>
      <c r="S8" s="1854"/>
      <c r="T8" s="1854"/>
      <c r="U8" s="1854"/>
      <c r="V8" s="1854"/>
      <c r="W8" s="1137">
        <v>4</v>
      </c>
    </row>
    <row customHeight="1" ht="10.5">
      <c r="E9" s="1796"/>
      <c r="F9" s="3045" t="s">
        <v>318</v>
      </c>
      <c r="G9" s="3046"/>
      <c r="H9" s="3046"/>
      <c r="I9" s="3046"/>
      <c r="J9" s="3046"/>
      <c r="K9" s="1866"/>
      <c r="L9" s="1783"/>
      <c r="M9" s="1783"/>
      <c r="N9" s="1783"/>
      <c r="O9" s="1783"/>
      <c r="P9" s="1783"/>
      <c r="Q9" s="1783"/>
      <c r="R9" s="1783"/>
      <c r="S9" s="1783"/>
      <c r="T9" s="1783"/>
      <c r="U9" s="1783"/>
      <c r="V9" s="1783"/>
      <c r="W9" s="1781">
        <v>10</v>
      </c>
    </row>
    <row customHeight="1" ht="25.2">
      <c r="E10" s="1783"/>
      <c r="F10" s="3049" t="s">
        <v>88</v>
      </c>
      <c r="G10" s="3054" t="s">
        <v>1197</v>
      </c>
      <c r="H10" s="3052" t="s">
        <v>1198</v>
      </c>
      <c r="I10" s="3052"/>
      <c r="J10" s="3052"/>
      <c r="K10" s="1859"/>
      <c r="L10" s="1783"/>
      <c r="M10" s="1783"/>
      <c r="N10" s="1783"/>
      <c r="O10" s="1783"/>
      <c r="P10" s="1783"/>
      <c r="Q10" s="1783"/>
      <c r="R10" s="1783"/>
      <c r="S10" s="1783"/>
      <c r="T10" s="1783"/>
      <c r="U10" s="1783"/>
      <c r="V10" s="1783"/>
      <c r="W10" s="1781">
        <v>24</v>
      </c>
    </row>
    <row customHeight="1" ht="25.5">
      <c r="E11" s="1783"/>
      <c r="F11" s="3050"/>
      <c r="G11" s="3054"/>
      <c r="H11" s="3053">
        <f>INDEX(IP_MAIN_LIST_NAME_IP,MATCH(H8,IP_MAIN_LIST_IP_ID,0))&amp;" ("&amp;INDEX(IP_MAIN_START_DATE,MATCH(H8,IP_MAIN_LIST_IP_ID,0))&amp;"-"&amp;INDEX(IP_MAIN_END_DATE,MATCH(H8,IP_MAIN_LIST_IP_ID,0))&amp;")"</f>
      </c>
      <c r="I11" s="3053"/>
      <c r="J11" s="3053"/>
      <c r="K11" s="1859"/>
      <c r="L11" s="1783"/>
      <c r="M11" s="1783"/>
      <c r="N11" s="1783"/>
      <c r="O11" s="1783"/>
      <c r="P11" s="1783"/>
      <c r="Q11" s="1783"/>
      <c r="R11" s="1783"/>
      <c r="S11" s="1783"/>
      <c r="T11" s="1783"/>
      <c r="U11" s="1783"/>
      <c r="V11" s="1783"/>
      <c r="W11" s="1781">
        <v>24</v>
      </c>
    </row>
    <row customHeight="1" ht="10.5">
      <c r="F12" s="3051"/>
      <c r="G12" s="3054"/>
      <c r="H12" s="1852" t="s">
        <v>1199</v>
      </c>
      <c r="I12" s="1858"/>
      <c r="J12" s="1852"/>
      <c r="K12" s="1860"/>
      <c r="W12" s="1781">
        <v>10</v>
      </c>
    </row>
    <row customHeight="1" ht="10.5" hidden="1">
      <c r="F13" s="1852">
        <v>1</v>
      </c>
      <c r="G13" s="1852">
        <v>2</v>
      </c>
      <c r="H13" s="1852">
        <v>3</v>
      </c>
      <c r="I13" s="1852">
        <v>4</v>
      </c>
      <c r="J13" s="1852">
        <v>5</v>
      </c>
      <c r="K13" s="1860"/>
      <c r="W13" s="1781">
        <v>0</v>
      </c>
    </row>
    <row customHeight="1" ht="11.549999999999999">
      <c r="F14" s="1851" t="s">
        <v>1200</v>
      </c>
      <c r="G14" s="3047" t="s">
        <v>1201</v>
      </c>
      <c r="H14" s="3047"/>
      <c r="I14" s="3047"/>
      <c r="J14" s="3047"/>
      <c r="K14" s="1860"/>
      <c r="W14" s="1781">
        <v>11</v>
      </c>
    </row>
    <row customHeight="1" ht="11.549999999999999">
      <c r="F15" s="1856">
        <v>1</v>
      </c>
      <c r="G15" s="1316" t="s">
        <v>1202</v>
      </c>
      <c r="H15" s="1862">
        <f>SUM(I15:J15)</f>
        <v>0</v>
      </c>
      <c r="I15" s="1862">
        <f>SUM(I16:I27)</f>
        <v>0</v>
      </c>
      <c r="J15" s="1851"/>
      <c r="K15" s="1860"/>
      <c r="W15" s="1781">
        <v>11</v>
      </c>
    </row>
    <row customHeight="1" ht="24">
      <c r="F16" s="1856" t="s">
        <v>1203</v>
      </c>
      <c r="G16" s="1863" t="s">
        <v>1204</v>
      </c>
      <c r="H16" s="1862">
        <f>SUM(I16:J16)</f>
        <v>0</v>
      </c>
      <c r="I16" s="1861"/>
      <c r="J16" s="1851"/>
      <c r="K16" s="1860"/>
      <c r="W16" s="1781">
        <v>23</v>
      </c>
    </row>
    <row customHeight="1" ht="24">
      <c r="F17" s="1856" t="s">
        <v>1205</v>
      </c>
      <c r="G17" s="1863" t="s">
        <v>1206</v>
      </c>
      <c r="H17" s="1862">
        <f>SUM(I17:J17)</f>
        <v>0</v>
      </c>
      <c r="I17" s="1861"/>
      <c r="J17" s="1851"/>
      <c r="K17" s="1860"/>
      <c r="W17" s="1781">
        <v>23</v>
      </c>
    </row>
    <row customHeight="1" ht="35.699999999999996">
      <c r="F18" s="1856" t="s">
        <v>1207</v>
      </c>
      <c r="G18" s="1863" t="s">
        <v>1208</v>
      </c>
      <c r="H18" s="1862">
        <f>SUM(I18:J18)</f>
        <v>0</v>
      </c>
      <c r="I18" s="1861"/>
      <c r="J18" s="1851"/>
      <c r="K18" s="1860"/>
      <c r="W18" s="1781">
        <v>34</v>
      </c>
    </row>
    <row customHeight="1" ht="35.699999999999996">
      <c r="F19" s="1856" t="s">
        <v>1209</v>
      </c>
      <c r="G19" s="1863" t="s">
        <v>1210</v>
      </c>
      <c r="H19" s="1862">
        <f>SUM(I19:J19)</f>
        <v>0</v>
      </c>
      <c r="I19" s="1861"/>
      <c r="J19" s="1851"/>
      <c r="K19" s="1860"/>
      <c r="W19" s="1781">
        <v>34</v>
      </c>
    </row>
    <row customHeight="1" ht="48.29999999999999">
      <c r="F20" s="1856" t="s">
        <v>1211</v>
      </c>
      <c r="G20" s="1863" t="s">
        <v>1212</v>
      </c>
      <c r="H20" s="1862">
        <f>SUM(I20:J20)</f>
        <v>0</v>
      </c>
      <c r="I20" s="1861"/>
      <c r="J20" s="1851"/>
      <c r="K20" s="1860"/>
      <c r="W20" s="1781">
        <v>46</v>
      </c>
    </row>
    <row customHeight="1" ht="35.699999999999996">
      <c r="F21" s="1856" t="s">
        <v>1213</v>
      </c>
      <c r="G21" s="1863" t="s">
        <v>1214</v>
      </c>
      <c r="H21" s="1862">
        <f>SUM(I21:J21)</f>
        <v>0</v>
      </c>
      <c r="I21" s="1861"/>
      <c r="J21" s="1851"/>
      <c r="K21" s="1860"/>
      <c r="W21" s="1781">
        <v>34</v>
      </c>
    </row>
    <row customHeight="1" ht="35.699999999999996">
      <c r="F22" s="1856" t="s">
        <v>1215</v>
      </c>
      <c r="G22" s="1863" t="s">
        <v>1216</v>
      </c>
      <c r="H22" s="1862">
        <f>SUM(I22:J22)</f>
        <v>0</v>
      </c>
      <c r="I22" s="1861"/>
      <c r="J22" s="1851"/>
      <c r="K22" s="1860"/>
      <c r="W22" s="1781">
        <v>34</v>
      </c>
    </row>
    <row customHeight="1" ht="24">
      <c r="F23" s="1856" t="s">
        <v>1217</v>
      </c>
      <c r="G23" s="1863" t="s">
        <v>1218</v>
      </c>
      <c r="H23" s="1862">
        <f>SUM(I23:J23)</f>
        <v>0</v>
      </c>
      <c r="I23" s="1861"/>
      <c r="J23" s="1851"/>
      <c r="K23" s="1860"/>
      <c r="W23" s="1781">
        <v>23</v>
      </c>
    </row>
    <row customHeight="1" ht="24">
      <c r="F24" s="1856" t="s">
        <v>1219</v>
      </c>
      <c r="G24" s="1863" t="s">
        <v>1220</v>
      </c>
      <c r="H24" s="1862">
        <f>SUM(I24:J24)</f>
        <v>0</v>
      </c>
      <c r="I24" s="1861"/>
      <c r="J24" s="1851"/>
      <c r="K24" s="1860"/>
      <c r="W24" s="1781">
        <v>23</v>
      </c>
    </row>
    <row customHeight="1" ht="35.699999999999996">
      <c r="F25" s="1856" t="s">
        <v>1221</v>
      </c>
      <c r="G25" s="1863" t="s">
        <v>1222</v>
      </c>
      <c r="H25" s="1862">
        <f>SUM(I25:J25)</f>
        <v>0</v>
      </c>
      <c r="I25" s="1861"/>
      <c r="J25" s="1851"/>
      <c r="K25" s="1860"/>
      <c r="W25" s="1781">
        <v>34</v>
      </c>
    </row>
    <row customHeight="1" ht="35.699999999999996">
      <c r="F26" s="1856" t="s">
        <v>1223</v>
      </c>
      <c r="G26" s="1863" t="s">
        <v>1224</v>
      </c>
      <c r="H26" s="1862">
        <f>SUM(I26:J26)</f>
        <v>0</v>
      </c>
      <c r="I26" s="1861"/>
      <c r="J26" s="1851"/>
      <c r="K26" s="1860"/>
      <c r="W26" s="1781">
        <v>34</v>
      </c>
    </row>
    <row customHeight="1" ht="11.549999999999999">
      <c r="F27" s="1856" t="s">
        <v>1225</v>
      </c>
      <c r="G27" s="1863" t="s">
        <v>1226</v>
      </c>
      <c r="H27" s="1862">
        <f>SUM(I27:J27)</f>
        <v>0</v>
      </c>
      <c r="I27" s="1861"/>
      <c r="J27" s="1851"/>
      <c r="K27" s="1860"/>
      <c r="W27" s="1781">
        <v>11</v>
      </c>
    </row>
    <row customHeight="1" ht="11.549999999999999">
      <c r="F28" s="1856">
        <v>2</v>
      </c>
      <c r="G28" s="1316" t="s">
        <v>1227</v>
      </c>
      <c r="H28" s="1862">
        <f>SUM(I28:J28)</f>
        <v>0</v>
      </c>
      <c r="I28" s="1862">
        <f>SUM(I29:I31)</f>
        <v>0</v>
      </c>
      <c r="J28" s="1851"/>
      <c r="K28" s="1860"/>
      <c r="W28" s="1781">
        <v>11</v>
      </c>
    </row>
    <row customHeight="1" ht="11.549999999999999">
      <c r="F29" s="1856" t="s">
        <v>730</v>
      </c>
      <c r="G29" s="1863" t="s">
        <v>1228</v>
      </c>
      <c r="H29" s="1862">
        <f>SUM(I29:J29)</f>
        <v>0</v>
      </c>
      <c r="I29" s="1861"/>
      <c r="J29" s="1851"/>
      <c r="K29" s="1860"/>
      <c r="W29" s="1781">
        <v>11</v>
      </c>
    </row>
    <row customHeight="1" ht="11.549999999999999">
      <c r="F30" s="1856" t="s">
        <v>325</v>
      </c>
      <c r="G30" s="1863" t="s">
        <v>1229</v>
      </c>
      <c r="H30" s="1862">
        <f>SUM(I30:J30)</f>
        <v>0</v>
      </c>
      <c r="I30" s="1861"/>
      <c r="J30" s="1851"/>
      <c r="K30" s="1860"/>
      <c r="W30" s="1781">
        <v>11</v>
      </c>
    </row>
    <row customHeight="1" ht="11.549999999999999">
      <c r="F31" s="1856" t="s">
        <v>328</v>
      </c>
      <c r="G31" s="1863" t="s">
        <v>1230</v>
      </c>
      <c r="H31" s="1862">
        <f>SUM(I31:J31)</f>
        <v>0</v>
      </c>
      <c r="I31" s="1861"/>
      <c r="J31" s="1851"/>
      <c r="K31" s="1860"/>
      <c r="W31" s="1781">
        <v>11</v>
      </c>
    </row>
    <row customHeight="1" ht="11.549999999999999">
      <c r="F32" s="1856">
        <v>3</v>
      </c>
      <c r="G32" s="1316" t="s">
        <v>1231</v>
      </c>
      <c r="H32" s="1862">
        <f>SUM(I32:J32)</f>
        <v>0</v>
      </c>
      <c r="I32" s="1862">
        <f>SUM(I33:I34)</f>
        <v>0</v>
      </c>
      <c r="J32" s="1851"/>
      <c r="K32" s="1860"/>
      <c r="W32" s="1781">
        <v>11</v>
      </c>
    </row>
    <row customHeight="1" ht="48.29999999999999">
      <c r="F33" s="1856" t="s">
        <v>342</v>
      </c>
      <c r="G33" s="1863" t="s">
        <v>1232</v>
      </c>
      <c r="H33" s="1862">
        <f>SUM(I33:J33)</f>
        <v>0</v>
      </c>
      <c r="I33" s="1861"/>
      <c r="J33" s="1851"/>
      <c r="K33" s="1860"/>
      <c r="W33" s="1781">
        <v>46</v>
      </c>
    </row>
    <row customHeight="1" ht="11.549999999999999">
      <c r="F34" s="1856" t="s">
        <v>350</v>
      </c>
      <c r="G34" s="1863" t="s">
        <v>1233</v>
      </c>
      <c r="H34" s="1862">
        <f>SUM(I34:J34)</f>
        <v>0</v>
      </c>
      <c r="I34" s="1861"/>
      <c r="J34" s="1851"/>
      <c r="K34" s="1860"/>
      <c r="W34" s="1781">
        <v>11</v>
      </c>
    </row>
    <row customHeight="1" ht="11.549999999999999">
      <c r="F35" s="1856">
        <v>4</v>
      </c>
      <c r="G35" s="1316" t="s">
        <v>1234</v>
      </c>
      <c r="H35" s="1862">
        <f>SUM(I35:J35)</f>
        <v>0</v>
      </c>
      <c r="I35" s="1861"/>
      <c r="J35" s="1851"/>
      <c r="K35" s="1860"/>
      <c r="W35" s="1781">
        <v>11</v>
      </c>
    </row>
    <row customHeight="1" ht="11.549999999999999">
      <c r="F36" s="1856"/>
      <c r="G36" s="1319" t="s">
        <v>1235</v>
      </c>
      <c r="H36" s="1862">
        <f>SUM(I36:J36)</f>
        <v>0</v>
      </c>
      <c r="I36" s="1862">
        <f>SUM(I15,I28,I32,I35)</f>
        <v>0</v>
      </c>
      <c r="J36" s="1851"/>
      <c r="K36" s="1860"/>
      <c r="W36" s="1781">
        <v>11</v>
      </c>
    </row>
    <row customHeight="1" ht="29.25">
      <c r="F37" s="1857" t="s">
        <v>1236</v>
      </c>
      <c r="G37" s="3048" t="s">
        <v>1237</v>
      </c>
      <c r="H37" s="3048"/>
      <c r="I37" s="3048"/>
      <c r="J37" s="3048"/>
      <c r="K37" s="1860"/>
      <c r="W37" s="1781">
        <v>28</v>
      </c>
    </row>
    <row customHeight="1" ht="24">
      <c r="F38" s="1856" t="s">
        <v>118</v>
      </c>
      <c r="G38" s="1316" t="s">
        <v>1238</v>
      </c>
      <c r="H38" s="1862">
        <f>SUM(I38:J38)</f>
        <v>0</v>
      </c>
      <c r="I38" s="1862">
        <f>SUM(I39,I44,I47)</f>
        <v>0</v>
      </c>
      <c r="J38" s="1851"/>
      <c r="K38" s="1860"/>
      <c r="W38" s="1781">
        <v>23</v>
      </c>
    </row>
    <row customHeight="1" ht="11.549999999999999">
      <c r="F39" s="1856" t="s">
        <v>1203</v>
      </c>
      <c r="G39" s="1863" t="s">
        <v>1202</v>
      </c>
      <c r="H39" s="1862">
        <f>SUM(I39:J39)</f>
        <v>0</v>
      </c>
      <c r="I39" s="1862">
        <f>SUM(I40:I43)</f>
        <v>0</v>
      </c>
      <c r="J39" s="1851"/>
      <c r="K39" s="1860"/>
      <c r="W39" s="1781">
        <v>11</v>
      </c>
    </row>
    <row customHeight="1" ht="24">
      <c r="F40" s="1856" t="s">
        <v>1239</v>
      </c>
      <c r="G40" s="1864" t="s">
        <v>1240</v>
      </c>
      <c r="H40" s="1862">
        <f>SUM(I40:J40)</f>
        <v>0</v>
      </c>
      <c r="I40" s="1861"/>
      <c r="J40" s="1851"/>
      <c r="K40" s="1860"/>
      <c r="W40" s="1781">
        <v>23</v>
      </c>
    </row>
    <row customHeight="1" ht="11.549999999999999">
      <c r="F41" s="1856" t="s">
        <v>1241</v>
      </c>
      <c r="G41" s="1864" t="s">
        <v>1242</v>
      </c>
      <c r="H41" s="1862">
        <f>SUM(I41:J41)</f>
        <v>0</v>
      </c>
      <c r="I41" s="1861"/>
      <c r="J41" s="1851"/>
      <c r="K41" s="1860"/>
      <c r="W41" s="1781">
        <v>11</v>
      </c>
    </row>
    <row customHeight="1" ht="11.549999999999999">
      <c r="F42" s="1856" t="s">
        <v>1243</v>
      </c>
      <c r="G42" s="1864" t="s">
        <v>1244</v>
      </c>
      <c r="H42" s="1862">
        <f>SUM(I42:J42)</f>
        <v>0</v>
      </c>
      <c r="I42" s="1861"/>
      <c r="J42" s="1851"/>
      <c r="K42" s="1860"/>
      <c r="W42" s="1781">
        <v>11</v>
      </c>
    </row>
    <row customHeight="1" ht="35.699999999999996">
      <c r="F43" s="1856" t="s">
        <v>1245</v>
      </c>
      <c r="G43" s="1864" t="s">
        <v>1246</v>
      </c>
      <c r="H43" s="1862">
        <f>SUM(I43:J43)</f>
        <v>0</v>
      </c>
      <c r="I43" s="1861"/>
      <c r="J43" s="1851"/>
      <c r="K43" s="1860"/>
      <c r="W43" s="1781">
        <v>34</v>
      </c>
    </row>
    <row customHeight="1" ht="11.549999999999999">
      <c r="F44" s="1856" t="s">
        <v>1205</v>
      </c>
      <c r="G44" s="1863" t="s">
        <v>1231</v>
      </c>
      <c r="H44" s="1862">
        <f>SUM(I44:J44)</f>
        <v>0</v>
      </c>
      <c r="I44" s="1862">
        <f>SUM(I45:I46)</f>
        <v>0</v>
      </c>
      <c r="J44" s="1851"/>
      <c r="K44" s="1860"/>
      <c r="W44" s="1781">
        <v>11</v>
      </c>
    </row>
    <row customHeight="1" ht="48.29999999999999">
      <c r="F45" s="1856" t="s">
        <v>1247</v>
      </c>
      <c r="G45" s="1864" t="s">
        <v>1232</v>
      </c>
      <c r="H45" s="1862">
        <f>SUM(I45:J45)</f>
        <v>0</v>
      </c>
      <c r="I45" s="1861"/>
      <c r="J45" s="1851"/>
      <c r="K45" s="1860"/>
      <c r="W45" s="1781">
        <v>46</v>
      </c>
    </row>
    <row customHeight="1" ht="11.549999999999999">
      <c r="F46" s="1856" t="s">
        <v>1248</v>
      </c>
      <c r="G46" s="1864" t="s">
        <v>1233</v>
      </c>
      <c r="H46" s="1862">
        <f>SUM(I46:J46)</f>
        <v>0</v>
      </c>
      <c r="I46" s="1861"/>
      <c r="J46" s="1851"/>
      <c r="K46" s="1860"/>
      <c r="W46" s="1781">
        <v>11</v>
      </c>
    </row>
    <row customHeight="1" ht="11.549999999999999">
      <c r="F47" s="1856" t="s">
        <v>1207</v>
      </c>
      <c r="G47" s="1863" t="s">
        <v>1249</v>
      </c>
      <c r="H47" s="1862">
        <f>SUM(I47:J47)</f>
        <v>0</v>
      </c>
      <c r="I47" s="1861"/>
      <c r="J47" s="1851"/>
      <c r="K47" s="1860"/>
      <c r="W47" s="1781">
        <v>11</v>
      </c>
    </row>
    <row customHeight="1" ht="24">
      <c r="F48" s="1856" t="s">
        <v>102</v>
      </c>
      <c r="G48" s="1316" t="s">
        <v>1250</v>
      </c>
      <c r="H48" s="1862">
        <f>SUM(I48:J48)</f>
        <v>0</v>
      </c>
      <c r="I48" s="1862">
        <f>SUM(I49,I54,I57)</f>
        <v>0</v>
      </c>
      <c r="J48" s="1851"/>
      <c r="K48" s="1860"/>
      <c r="W48" s="1781">
        <v>23</v>
      </c>
    </row>
    <row customHeight="1" ht="11.549999999999999">
      <c r="F49" s="1856" t="s">
        <v>730</v>
      </c>
      <c r="G49" s="1863" t="s">
        <v>1202</v>
      </c>
      <c r="H49" s="1862">
        <f>SUM(I49:J49)</f>
        <v>0</v>
      </c>
      <c r="I49" s="1862">
        <f>SUM(I50:I53)</f>
        <v>0</v>
      </c>
      <c r="J49" s="1851"/>
      <c r="K49" s="1860"/>
      <c r="W49" s="1781">
        <v>11</v>
      </c>
    </row>
    <row customHeight="1" ht="24">
      <c r="F50" s="1856" t="s">
        <v>733</v>
      </c>
      <c r="G50" s="1864" t="s">
        <v>1240</v>
      </c>
      <c r="H50" s="1862">
        <f>SUM(I50:J50)</f>
        <v>0</v>
      </c>
      <c r="I50" s="1861"/>
      <c r="J50" s="1851"/>
      <c r="K50" s="1860"/>
      <c r="W50" s="1781">
        <v>23</v>
      </c>
    </row>
    <row customHeight="1" ht="11.549999999999999">
      <c r="F51" s="1856" t="s">
        <v>736</v>
      </c>
      <c r="G51" s="1864" t="s">
        <v>1242</v>
      </c>
      <c r="H51" s="1862">
        <f>SUM(I51:J51)</f>
        <v>0</v>
      </c>
      <c r="I51" s="1861"/>
      <c r="J51" s="1851"/>
      <c r="K51" s="1860"/>
      <c r="W51" s="1781">
        <v>11</v>
      </c>
    </row>
    <row customHeight="1" ht="11.549999999999999">
      <c r="F52" s="1856" t="s">
        <v>1251</v>
      </c>
      <c r="G52" s="1864" t="s">
        <v>1244</v>
      </c>
      <c r="H52" s="1862">
        <f>SUM(I52:J52)</f>
        <v>0</v>
      </c>
      <c r="I52" s="1861"/>
      <c r="J52" s="1851"/>
      <c r="K52" s="1860"/>
      <c r="W52" s="1781">
        <v>11</v>
      </c>
    </row>
    <row customHeight="1" ht="35.699999999999996">
      <c r="F53" s="1856" t="s">
        <v>1252</v>
      </c>
      <c r="G53" s="1864" t="s">
        <v>1246</v>
      </c>
      <c r="H53" s="1862">
        <f>SUM(I53:J53)</f>
        <v>0</v>
      </c>
      <c r="I53" s="1861"/>
      <c r="J53" s="1851"/>
      <c r="K53" s="1860"/>
      <c r="W53" s="1781">
        <v>34</v>
      </c>
    </row>
    <row customHeight="1" ht="11.549999999999999">
      <c r="F54" s="1856" t="s">
        <v>325</v>
      </c>
      <c r="G54" s="1863" t="s">
        <v>1231</v>
      </c>
      <c r="H54" s="1862">
        <f>SUM(I54:J54)</f>
        <v>0</v>
      </c>
      <c r="I54" s="1862">
        <f>SUM(I55:I56)</f>
        <v>0</v>
      </c>
      <c r="J54" s="1851"/>
      <c r="K54" s="1860"/>
      <c r="W54" s="1781">
        <v>11</v>
      </c>
    </row>
    <row customHeight="1" ht="48.29999999999999">
      <c r="F55" s="1856" t="s">
        <v>740</v>
      </c>
      <c r="G55" s="1864" t="s">
        <v>1232</v>
      </c>
      <c r="H55" s="1862">
        <f>SUM(I55:J55)</f>
        <v>0</v>
      </c>
      <c r="I55" s="1861"/>
      <c r="J55" s="1851"/>
      <c r="K55" s="1860"/>
      <c r="W55" s="1781">
        <v>46</v>
      </c>
    </row>
    <row customHeight="1" ht="11.549999999999999">
      <c r="F56" s="1856" t="s">
        <v>742</v>
      </c>
      <c r="G56" s="1864" t="s">
        <v>1233</v>
      </c>
      <c r="H56" s="1862">
        <f>SUM(I56:J56)</f>
        <v>0</v>
      </c>
      <c r="I56" s="1861"/>
      <c r="J56" s="1851"/>
      <c r="K56" s="1860"/>
      <c r="W56" s="1781">
        <v>11</v>
      </c>
    </row>
    <row customHeight="1" ht="11.549999999999999">
      <c r="F57" s="1856" t="s">
        <v>328</v>
      </c>
      <c r="G57" s="1863" t="s">
        <v>1249</v>
      </c>
      <c r="H57" s="1862">
        <f>SUM(I57:J57)</f>
        <v>0</v>
      </c>
      <c r="I57" s="1861"/>
      <c r="J57" s="1851"/>
      <c r="K57" s="1860"/>
      <c r="W57" s="1781">
        <v>11</v>
      </c>
    </row>
    <row customHeight="1" ht="11.549999999999999">
      <c r="F58" s="1856"/>
      <c r="G58" s="1865" t="s">
        <v>1235</v>
      </c>
      <c r="H58" s="1862">
        <f>SUM(I58:J58)</f>
        <v>0</v>
      </c>
      <c r="I58" s="1862">
        <f>SUM(I38,I48)</f>
        <v>0</v>
      </c>
      <c r="J58" s="1851"/>
      <c r="K58" s="1860"/>
      <c r="W58" s="1781">
        <v>11</v>
      </c>
    </row>
    <row customHeight="1" ht="10.5" hidden="1">
      <c r="A59" s="1792" t="s">
        <v>82</v>
      </c>
      <c r="B59" s="1792">
        <v>0</v>
      </c>
      <c r="C59" s="1792">
        <v>0</v>
      </c>
      <c r="D59" s="1786">
        <v>0</v>
      </c>
      <c r="E59" s="1135">
        <v>3</v>
      </c>
      <c r="F59" s="1781">
        <v>6</v>
      </c>
      <c r="G59" s="1781">
        <v>60</v>
      </c>
      <c r="H59" s="1781">
        <v>0</v>
      </c>
      <c r="I59" s="1781">
        <v>0</v>
      </c>
      <c r="J59" s="1781">
        <v>0</v>
      </c>
      <c r="K59" s="1781">
        <v>1</v>
      </c>
      <c r="L59" s="1781">
        <v>8</v>
      </c>
      <c r="M59" s="1781">
        <v>8</v>
      </c>
      <c r="N59" s="1781">
        <v>8</v>
      </c>
      <c r="O59" s="1781">
        <v>8</v>
      </c>
      <c r="P59" s="1781">
        <v>8</v>
      </c>
      <c r="Q59" s="1781">
        <v>8</v>
      </c>
      <c r="R59" s="1781">
        <v>8</v>
      </c>
      <c r="S59" s="1781">
        <v>8</v>
      </c>
      <c r="T59" s="1781">
        <v>8</v>
      </c>
      <c r="U59" s="1781">
        <v>8</v>
      </c>
      <c r="V59" s="1781">
        <v>8</v>
      </c>
      <c r="W59" s="1781">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B1296B-D881-EB1D-353B-F6D04FE3E52D}"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36987" width="4.7109375" hidden="1" customWidth="1"/>
    <col min="2" max="2" style="36993" width="4.7109375" hidden="1" customWidth="1"/>
    <col min="3" max="4" style="36987" width="4.7109375" hidden="1" customWidth="1"/>
    <col min="5" max="5" style="36987" width="3.00390625" customWidth="1"/>
    <col min="6" max="6" style="36987" width="6.00390625" customWidth="1"/>
    <col min="7" max="7" style="36987" width="18.00390625" customWidth="1"/>
    <col min="8" max="8" style="36987" width="27.00390625" customWidth="1"/>
    <col min="9" max="9" style="36987" width="18.00390625" customWidth="1"/>
    <col min="10" max="14" style="36987" width="0.8515625" hidden="1" customWidth="1"/>
    <col min="15" max="28" style="36987" width="21.7109375" customWidth="1"/>
    <col min="29" max="71" style="36987" width="0.8515625" customWidth="1"/>
    <col min="72" max="79" style="36987" width="21.7109375" hidden="1" customWidth="1"/>
    <col min="80" max="81" style="36987" width="29.140625" hidden="1" customWidth="1"/>
    <col min="82" max="89" style="36987" width="21.7109375" hidden="1" customWidth="1"/>
    <col min="90" max="102" style="36987" width="0.7109375" hidden="1" customWidth="1"/>
    <col min="103" max="114" style="36987" width="21.7109375" hidden="1" customWidth="1"/>
    <col min="115" max="178" style="36987" width="0.7109375" hidden="1" customWidth="1"/>
    <col min="179" max="179" style="36987" width="0.140625" customWidth="1"/>
    <col min="180" max="184" style="36987" width="8.00390625" customWidth="1"/>
    <col min="185" max="185" style="36987" width="9.140625" hidden="1"/>
  </cols>
  <sheetData>
    <row s="36917" customFormat="1" customHeight="1" ht="12" hidden="1">
      <c r="B1" s="1549"/>
      <c r="C1" s="1550"/>
      <c r="D1" s="1550"/>
      <c r="GC1" s="1548" t="s">
        <v>14</v>
      </c>
    </row>
    <row s="36917" customFormat="1" customHeight="1" ht="12" hidden="1">
      <c r="B2" s="1549"/>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c r="AB2" s="1551"/>
      <c r="AC2" s="1550"/>
      <c r="AD2" s="1550"/>
      <c r="AE2" s="1550"/>
      <c r="AF2" s="1550"/>
      <c r="AG2" s="1550"/>
      <c r="AH2" s="1550"/>
      <c r="AI2" s="1550"/>
      <c r="AJ2" s="1550"/>
      <c r="AK2" s="1550"/>
      <c r="AL2" s="1550"/>
      <c r="AM2" s="1550"/>
      <c r="AN2" s="1550"/>
      <c r="AO2" s="1550"/>
      <c r="AP2" s="1550"/>
      <c r="AQ2" s="1550"/>
      <c r="AR2" s="1550"/>
      <c r="AS2" s="1550"/>
      <c r="AT2" s="1550"/>
      <c r="AU2" s="1550"/>
      <c r="AV2" s="1550"/>
      <c r="AW2" s="1550"/>
      <c r="AX2" s="1550"/>
      <c r="AY2" s="1550"/>
      <c r="AZ2" s="1550"/>
      <c r="BA2" s="1550"/>
      <c r="BB2" s="1550"/>
      <c r="BC2" s="1550"/>
      <c r="BD2" s="1550"/>
      <c r="BE2" s="1550"/>
      <c r="BF2" s="1550"/>
      <c r="BG2" s="1550"/>
      <c r="BH2" s="1550"/>
      <c r="BI2" s="1550"/>
      <c r="BJ2" s="1550"/>
      <c r="BK2" s="1550"/>
      <c r="BL2" s="1550"/>
      <c r="BM2" s="1550"/>
      <c r="BN2" s="1550"/>
      <c r="BO2" s="1550"/>
      <c r="BP2" s="1550"/>
      <c r="BQ2" s="1550"/>
      <c r="BR2" s="1550"/>
      <c r="BS2" s="1550"/>
      <c r="BT2" s="1550"/>
      <c r="BU2" s="1550"/>
      <c r="BV2" s="1550"/>
      <c r="BW2" s="1550"/>
      <c r="BX2" s="1550"/>
      <c r="BY2" s="1550"/>
      <c r="BZ2" s="1550"/>
      <c r="CA2" s="1550"/>
      <c r="CB2" s="1550"/>
      <c r="CC2" s="1550"/>
      <c r="CD2" s="1550"/>
      <c r="CE2" s="1550"/>
      <c r="CF2" s="1550"/>
      <c r="CG2" s="1550"/>
      <c r="CH2" s="1550"/>
      <c r="CI2" s="1550"/>
      <c r="CJ2" s="1550"/>
      <c r="CK2" s="1550"/>
      <c r="CL2" s="1550"/>
      <c r="CM2" s="1550"/>
      <c r="CN2" s="1550"/>
      <c r="CO2" s="1550"/>
      <c r="CP2" s="1550"/>
      <c r="CQ2" s="1550"/>
      <c r="CR2" s="1550"/>
      <c r="CS2" s="1550"/>
      <c r="CT2" s="1550"/>
      <c r="CU2" s="1550"/>
      <c r="CV2" s="1550"/>
      <c r="CW2" s="1550"/>
      <c r="CX2" s="1550"/>
      <c r="CY2" s="1550"/>
      <c r="CZ2" s="1550"/>
      <c r="DA2" s="1550"/>
      <c r="DB2" s="1550"/>
      <c r="DC2" s="1550"/>
      <c r="DD2" s="1550"/>
      <c r="DE2" s="1550"/>
      <c r="DF2" s="1550"/>
      <c r="DG2" s="1550"/>
      <c r="DH2" s="1550"/>
      <c r="DI2" s="1550"/>
      <c r="DJ2" s="1550"/>
      <c r="DK2" s="1550"/>
      <c r="DL2" s="1550"/>
      <c r="DM2" s="1550"/>
      <c r="DN2" s="1550"/>
      <c r="DO2" s="1550"/>
      <c r="DP2" s="1550"/>
      <c r="DQ2" s="1550"/>
      <c r="DR2" s="1550"/>
      <c r="DS2" s="1550"/>
      <c r="DT2" s="1550"/>
      <c r="DU2" s="1550"/>
      <c r="DV2" s="1550"/>
      <c r="DW2" s="1550"/>
      <c r="DX2" s="1550"/>
      <c r="DY2" s="1550"/>
      <c r="DZ2" s="1550"/>
      <c r="EA2" s="1550"/>
      <c r="EB2" s="1550"/>
      <c r="EC2" s="1550"/>
      <c r="ED2" s="1550"/>
      <c r="EE2" s="1550"/>
      <c r="EF2" s="1550"/>
      <c r="EG2" s="1550"/>
      <c r="EH2" s="1550"/>
      <c r="EI2" s="1550"/>
      <c r="EJ2" s="1550"/>
      <c r="EK2" s="1550"/>
      <c r="EL2" s="1550"/>
      <c r="EM2" s="1550"/>
      <c r="EN2" s="1550"/>
      <c r="EO2" s="1550"/>
      <c r="EP2" s="1550"/>
      <c r="EQ2" s="1550"/>
      <c r="ER2" s="1550"/>
      <c r="ES2" s="1550"/>
      <c r="ET2" s="1550"/>
      <c r="EU2" s="1550"/>
      <c r="EV2" s="1550"/>
      <c r="EW2" s="1550"/>
      <c r="EX2" s="1550"/>
      <c r="EY2" s="1550"/>
      <c r="EZ2" s="1550"/>
      <c r="FA2" s="1550"/>
      <c r="FB2" s="1550"/>
      <c r="FC2" s="1550"/>
      <c r="FD2" s="1550"/>
      <c r="FE2" s="1550"/>
      <c r="FF2" s="1550"/>
      <c r="FG2" s="1550"/>
      <c r="FH2" s="1550"/>
      <c r="FI2" s="1550"/>
      <c r="FJ2" s="1550"/>
      <c r="FK2" s="1550"/>
      <c r="FL2" s="1550"/>
      <c r="FM2" s="1550"/>
      <c r="FN2" s="1550"/>
      <c r="FO2" s="1550"/>
      <c r="FP2" s="1550"/>
      <c r="FQ2" s="1550"/>
      <c r="FR2" s="1550"/>
      <c r="FS2" s="1550"/>
      <c r="FT2" s="1550"/>
      <c r="FU2" s="1550"/>
      <c r="FV2" s="1550"/>
      <c r="FW2" s="1550"/>
      <c r="GC2" s="1548">
        <v>0</v>
      </c>
    </row>
    <row s="36917" customFormat="1" customHeight="1" ht="12" hidden="1">
      <c r="B3" s="1549"/>
      <c r="C3" s="1550"/>
      <c r="D3" s="1550"/>
      <c r="E3" s="1550"/>
      <c r="F3" s="1550"/>
      <c r="G3" s="1550"/>
      <c r="H3" s="1550"/>
      <c r="I3" s="1550"/>
      <c r="J3" s="1550"/>
      <c r="K3" s="1550"/>
      <c r="L3" s="1550"/>
      <c r="M3" s="1550"/>
      <c r="N3" s="1550"/>
      <c r="O3" s="1550"/>
      <c r="P3" s="1550"/>
      <c r="Q3" s="1550"/>
      <c r="R3" s="1550"/>
      <c r="S3" s="1550"/>
      <c r="T3" s="1550"/>
      <c r="U3" s="1550"/>
      <c r="V3" s="1550"/>
      <c r="W3" s="1550"/>
      <c r="X3" s="1550"/>
      <c r="Y3" s="1550"/>
      <c r="Z3" s="1550"/>
      <c r="AA3" s="1550"/>
      <c r="AB3" s="1551"/>
      <c r="AC3" s="1550"/>
      <c r="AD3" s="1550"/>
      <c r="AE3" s="1550"/>
      <c r="AF3" s="1550"/>
      <c r="AG3" s="1550"/>
      <c r="AH3" s="1550"/>
      <c r="AI3" s="1550"/>
      <c r="AJ3" s="1550"/>
      <c r="AK3" s="1550"/>
      <c r="AL3" s="1550"/>
      <c r="AM3" s="1550"/>
      <c r="AN3" s="1550"/>
      <c r="AO3" s="1550"/>
      <c r="AP3" s="1550"/>
      <c r="AQ3" s="1550"/>
      <c r="AR3" s="1550"/>
      <c r="AS3" s="1550"/>
      <c r="AT3" s="1550"/>
      <c r="AU3" s="1550"/>
      <c r="AV3" s="1550"/>
      <c r="AW3" s="1550"/>
      <c r="AX3" s="1550"/>
      <c r="AY3" s="1550"/>
      <c r="AZ3" s="1550"/>
      <c r="BA3" s="1550"/>
      <c r="BB3" s="1550"/>
      <c r="BC3" s="1550"/>
      <c r="BD3" s="1550"/>
      <c r="BE3" s="1550"/>
      <c r="BF3" s="1550"/>
      <c r="BG3" s="1550"/>
      <c r="BH3" s="1550"/>
      <c r="BI3" s="1550"/>
      <c r="BJ3" s="1550"/>
      <c r="BK3" s="1550"/>
      <c r="BL3" s="1550"/>
      <c r="BM3" s="1550"/>
      <c r="BN3" s="1550"/>
      <c r="BO3" s="1550"/>
      <c r="BP3" s="1550"/>
      <c r="BQ3" s="1550"/>
      <c r="BR3" s="1550"/>
      <c r="BS3" s="1550"/>
      <c r="BT3" s="1550"/>
      <c r="BU3" s="1550"/>
      <c r="BV3" s="1550"/>
      <c r="BW3" s="1550"/>
      <c r="BX3" s="1550"/>
      <c r="BY3" s="1550"/>
      <c r="BZ3" s="1550"/>
      <c r="CA3" s="1550"/>
      <c r="CB3" s="1550"/>
      <c r="CC3" s="1550"/>
      <c r="CD3" s="1550"/>
      <c r="CE3" s="1550"/>
      <c r="CF3" s="1550"/>
      <c r="CG3" s="1550"/>
      <c r="CH3" s="1550"/>
      <c r="CI3" s="1550"/>
      <c r="CJ3" s="1550"/>
      <c r="CK3" s="1550"/>
      <c r="CL3" s="1550"/>
      <c r="CM3" s="1550"/>
      <c r="CN3" s="1550"/>
      <c r="CO3" s="1550"/>
      <c r="CP3" s="1550"/>
      <c r="CQ3" s="1550"/>
      <c r="CR3" s="1550"/>
      <c r="CS3" s="1550"/>
      <c r="CT3" s="1550"/>
      <c r="CU3" s="1550"/>
      <c r="CV3" s="1550"/>
      <c r="CW3" s="1550"/>
      <c r="CX3" s="1550"/>
      <c r="CY3" s="1550"/>
      <c r="CZ3" s="1550"/>
      <c r="DA3" s="1550"/>
      <c r="DB3" s="1550"/>
      <c r="DC3" s="1550"/>
      <c r="DD3" s="1550"/>
      <c r="DE3" s="1550"/>
      <c r="DF3" s="1550"/>
      <c r="DG3" s="1550"/>
      <c r="DH3" s="1550"/>
      <c r="DI3" s="1550"/>
      <c r="DJ3" s="1550"/>
      <c r="DK3" s="1550"/>
      <c r="DL3" s="1550"/>
      <c r="DM3" s="1550"/>
      <c r="DN3" s="1550"/>
      <c r="DO3" s="1550"/>
      <c r="DP3" s="1550"/>
      <c r="DQ3" s="1550"/>
      <c r="DR3" s="1550"/>
      <c r="DS3" s="1550"/>
      <c r="DT3" s="1550"/>
      <c r="DU3" s="1550"/>
      <c r="DV3" s="1550"/>
      <c r="DW3" s="1550"/>
      <c r="DX3" s="1550"/>
      <c r="DY3" s="1550"/>
      <c r="DZ3" s="1550"/>
      <c r="EA3" s="1550"/>
      <c r="EB3" s="1550"/>
      <c r="EC3" s="1550"/>
      <c r="ED3" s="1550"/>
      <c r="EE3" s="1550"/>
      <c r="EF3" s="1550"/>
      <c r="EG3" s="1550"/>
      <c r="EH3" s="1550"/>
      <c r="EI3" s="1550"/>
      <c r="EJ3" s="1550"/>
      <c r="EK3" s="1550"/>
      <c r="EL3" s="1550"/>
      <c r="EM3" s="1550"/>
      <c r="EN3" s="1550"/>
      <c r="EO3" s="1550"/>
      <c r="EP3" s="1550"/>
      <c r="EQ3" s="1550"/>
      <c r="ER3" s="1550"/>
      <c r="ES3" s="1550"/>
      <c r="ET3" s="1550"/>
      <c r="EU3" s="1550"/>
      <c r="EV3" s="1550"/>
      <c r="EW3" s="1550"/>
      <c r="EX3" s="1550"/>
      <c r="EY3" s="1550"/>
      <c r="EZ3" s="1550"/>
      <c r="FA3" s="1550"/>
      <c r="FB3" s="1550"/>
      <c r="FC3" s="1550"/>
      <c r="FD3" s="1550"/>
      <c r="FE3" s="1550"/>
      <c r="FF3" s="1550"/>
      <c r="FG3" s="1550"/>
      <c r="FH3" s="1550"/>
      <c r="FI3" s="1550"/>
      <c r="FJ3" s="1550"/>
      <c r="FK3" s="1550"/>
      <c r="FL3" s="1550"/>
      <c r="FM3" s="1550"/>
      <c r="FN3" s="1550"/>
      <c r="FO3" s="1550"/>
      <c r="FP3" s="1550"/>
      <c r="FQ3" s="1550"/>
      <c r="FR3" s="1550"/>
      <c r="FS3" s="1550"/>
      <c r="FT3" s="1550"/>
      <c r="FU3" s="1550"/>
      <c r="FV3" s="1550"/>
      <c r="FW3" s="1550"/>
      <c r="GC3" s="1548">
        <v>0</v>
      </c>
    </row>
    <row customHeight="1" ht="10.5">
      <c r="B4" s="1553"/>
      <c r="C4" s="1554"/>
      <c r="D4" s="1554"/>
      <c r="E4" s="1554"/>
      <c r="F4" s="1554"/>
      <c r="G4" s="1554"/>
      <c r="H4" s="1555"/>
      <c r="I4" s="1555"/>
      <c r="J4" s="1555"/>
      <c r="K4" s="1555"/>
      <c r="L4" s="1555"/>
      <c r="M4" s="1556"/>
      <c r="N4" s="1556"/>
      <c r="O4" s="1556"/>
      <c r="P4" s="1556"/>
      <c r="Q4" s="1556"/>
      <c r="R4" s="1556"/>
      <c r="S4" s="1556"/>
      <c r="T4" s="1556"/>
      <c r="U4" s="1556"/>
      <c r="V4" s="1556"/>
      <c r="W4" s="1556"/>
      <c r="X4" s="1556"/>
      <c r="Y4" s="1556"/>
      <c r="Z4" s="1556"/>
      <c r="AA4" s="1556"/>
      <c r="AB4" s="1556"/>
      <c r="AC4" s="1556"/>
      <c r="AD4" s="1556"/>
      <c r="AE4" s="1556"/>
      <c r="AF4" s="1556"/>
      <c r="AG4" s="1556"/>
      <c r="AH4" s="1556"/>
      <c r="AI4" s="1556"/>
      <c r="AJ4" s="1556"/>
      <c r="AK4" s="1556"/>
      <c r="AL4" s="1556"/>
      <c r="AM4" s="1556"/>
      <c r="AN4" s="1556"/>
      <c r="AO4" s="1556"/>
      <c r="AP4" s="1556"/>
      <c r="AQ4" s="1556"/>
      <c r="AR4" s="1556"/>
      <c r="AS4" s="1556"/>
      <c r="AT4" s="1556"/>
      <c r="AU4" s="1556"/>
      <c r="AV4" s="1556"/>
      <c r="AW4" s="1556"/>
      <c r="AX4" s="1556"/>
      <c r="AY4" s="1556"/>
      <c r="AZ4" s="1556"/>
      <c r="BA4" s="1556"/>
      <c r="BB4" s="1556"/>
      <c r="BC4" s="1556"/>
      <c r="BD4" s="1556"/>
      <c r="BE4" s="1556"/>
      <c r="BF4" s="1556"/>
      <c r="BG4" s="1556"/>
      <c r="BH4" s="1556"/>
      <c r="BI4" s="1556"/>
      <c r="BJ4" s="1556"/>
      <c r="BK4" s="1556"/>
      <c r="BL4" s="1556"/>
      <c r="BM4" s="1556"/>
      <c r="BN4" s="1556"/>
      <c r="BO4" s="1556"/>
      <c r="BP4" s="1556"/>
      <c r="BQ4" s="1556"/>
      <c r="BR4" s="1556"/>
      <c r="BS4" s="1556"/>
      <c r="BT4" s="1556"/>
      <c r="BU4" s="1556"/>
      <c r="BV4" s="1556"/>
      <c r="BW4" s="1556"/>
      <c r="BX4" s="1556"/>
      <c r="BY4" s="1556"/>
      <c r="BZ4" s="1556"/>
      <c r="CA4" s="1556"/>
      <c r="CB4" s="1556"/>
      <c r="CC4" s="1556"/>
      <c r="CD4" s="1556"/>
      <c r="CE4" s="1556"/>
      <c r="CF4" s="1556"/>
      <c r="CG4" s="1556"/>
      <c r="CH4" s="1556"/>
      <c r="CI4" s="1556"/>
      <c r="CJ4" s="1556"/>
      <c r="CK4" s="1556"/>
      <c r="CL4" s="1556"/>
      <c r="CM4" s="1556"/>
      <c r="CN4" s="1556"/>
      <c r="CO4" s="1556"/>
      <c r="CP4" s="1556"/>
      <c r="CQ4" s="1556"/>
      <c r="CR4" s="1556"/>
      <c r="CS4" s="1556"/>
      <c r="CT4" s="1556"/>
      <c r="CU4" s="1556"/>
      <c r="CV4" s="1556"/>
      <c r="CW4" s="1556"/>
      <c r="CX4" s="1556"/>
      <c r="CY4" s="1556"/>
      <c r="CZ4" s="1556"/>
      <c r="DA4" s="1556"/>
      <c r="DB4" s="1556"/>
      <c r="DC4" s="1556"/>
      <c r="DD4" s="1556"/>
      <c r="DE4" s="1556"/>
      <c r="DF4" s="1556"/>
      <c r="DG4" s="1556"/>
      <c r="DH4" s="1556"/>
      <c r="DI4" s="1556"/>
      <c r="DJ4" s="1556"/>
      <c r="DK4" s="1556"/>
      <c r="DL4" s="1556"/>
      <c r="DM4" s="1556"/>
      <c r="DN4" s="1556"/>
      <c r="DO4" s="1556"/>
      <c r="DP4" s="1556"/>
      <c r="DQ4" s="1556"/>
      <c r="DR4" s="1556"/>
      <c r="DS4" s="1556"/>
      <c r="DT4" s="1556"/>
      <c r="DU4" s="1556"/>
      <c r="DV4" s="1556"/>
      <c r="DW4" s="1556"/>
      <c r="DX4" s="1556"/>
      <c r="DY4" s="1556"/>
      <c r="DZ4" s="1556"/>
      <c r="EA4" s="1556"/>
      <c r="EB4" s="1556"/>
      <c r="EC4" s="1556"/>
      <c r="ED4" s="1556"/>
      <c r="EE4" s="1556"/>
      <c r="EF4" s="1556"/>
      <c r="EG4" s="1556"/>
      <c r="EH4" s="1556"/>
      <c r="EI4" s="1556"/>
      <c r="EJ4" s="1556"/>
      <c r="EK4" s="1556"/>
      <c r="EL4" s="1556"/>
      <c r="EM4" s="1556"/>
      <c r="EN4" s="1556"/>
      <c r="EO4" s="1556"/>
      <c r="EP4" s="1556"/>
      <c r="EQ4" s="1556"/>
      <c r="ER4" s="1556"/>
      <c r="ES4" s="1556"/>
      <c r="ET4" s="1556"/>
      <c r="EU4" s="1556"/>
      <c r="EV4" s="1556"/>
      <c r="EW4" s="1556"/>
      <c r="EX4" s="1556"/>
      <c r="EY4" s="1556"/>
      <c r="EZ4" s="1556"/>
      <c r="FA4" s="1556"/>
      <c r="FB4" s="1556"/>
      <c r="FC4" s="1556"/>
      <c r="FD4" s="1556"/>
      <c r="FE4" s="1556"/>
      <c r="FF4" s="1556"/>
      <c r="FG4" s="1556"/>
      <c r="FH4" s="1556"/>
      <c r="FI4" s="1556"/>
      <c r="FJ4" s="1556"/>
      <c r="FK4" s="1556"/>
      <c r="FL4" s="1556"/>
      <c r="FM4" s="1556"/>
      <c r="FN4" s="1556"/>
      <c r="FO4" s="1556"/>
      <c r="FP4" s="1556"/>
      <c r="FQ4" s="1556"/>
      <c r="FR4" s="1556"/>
      <c r="FS4" s="1556"/>
      <c r="FT4" s="1556"/>
      <c r="FU4" s="1556"/>
      <c r="FV4" s="1556"/>
      <c r="FW4" s="1556"/>
      <c r="GC4" s="1552">
        <v>10</v>
      </c>
    </row>
    <row s="36927" customFormat="1" customHeight="1" ht="27.299999999999997">
      <c r="B5" s="2498"/>
      <c r="E5" s="2500"/>
      <c r="F5" s="305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795"/>
      <c r="H5" s="2795"/>
      <c r="I5" s="2795"/>
      <c r="J5" s="2795"/>
      <c r="K5" s="2795"/>
      <c r="L5" s="2795"/>
      <c r="M5" s="2795"/>
      <c r="N5" s="2795"/>
      <c r="O5" s="2795"/>
      <c r="P5" s="2795"/>
      <c r="Q5" s="2795"/>
      <c r="R5" s="2795"/>
      <c r="S5" s="2795"/>
      <c r="T5" s="2795"/>
      <c r="U5" s="2795"/>
      <c r="V5" s="2795"/>
      <c r="W5" s="2795"/>
      <c r="X5" s="2795"/>
      <c r="Y5" s="2795"/>
      <c r="Z5" s="2795"/>
      <c r="AA5" s="2795"/>
      <c r="AB5" s="2795"/>
      <c r="AC5" s="2795"/>
      <c r="AD5" s="2795"/>
      <c r="AE5" s="2795"/>
      <c r="AF5" s="2795"/>
      <c r="AG5" s="2795"/>
      <c r="AH5" s="2795"/>
      <c r="AI5" s="2795"/>
      <c r="AJ5" s="2795"/>
      <c r="AK5" s="2795"/>
      <c r="AL5" s="2795"/>
      <c r="AM5" s="2795"/>
      <c r="AN5" s="2795"/>
      <c r="AO5" s="2795"/>
      <c r="AP5" s="2795"/>
      <c r="AQ5" s="2795"/>
      <c r="AR5" s="2795"/>
      <c r="AS5" s="2795"/>
      <c r="AT5" s="2795"/>
      <c r="AU5" s="2795"/>
      <c r="AV5" s="2795"/>
      <c r="AW5" s="2795"/>
      <c r="AX5" s="2795"/>
      <c r="AY5" s="2795"/>
      <c r="AZ5" s="2795"/>
      <c r="BA5" s="2795"/>
      <c r="BB5" s="2795"/>
      <c r="BC5" s="2795"/>
      <c r="BD5" s="2795"/>
      <c r="BE5" s="2795"/>
      <c r="BF5" s="2795"/>
      <c r="BG5" s="2795"/>
      <c r="BH5" s="2795"/>
      <c r="BI5" s="2795"/>
      <c r="BJ5" s="2795"/>
      <c r="BK5" s="2795"/>
      <c r="BL5" s="2795"/>
      <c r="BM5" s="2795"/>
      <c r="BN5" s="2795"/>
      <c r="BO5" s="2795"/>
      <c r="BP5" s="2795"/>
      <c r="BQ5" s="2795"/>
      <c r="BR5" s="2795"/>
      <c r="BS5" s="2795"/>
      <c r="GC5" s="2499">
        <v>26</v>
      </c>
    </row>
    <row s="36932" customFormat="1" customHeight="1" ht="18.75">
      <c r="B6" s="1569"/>
      <c r="E6" s="1571"/>
      <c r="F6" s="2840" t="str">
        <f>IF(org=0,"Не определено",org)</f>
        <v>АО "ДГК"</v>
      </c>
      <c r="G6" s="2841"/>
      <c r="H6" s="2841"/>
      <c r="I6" s="2841"/>
      <c r="J6" s="2841"/>
      <c r="K6" s="2841"/>
      <c r="L6" s="2841"/>
      <c r="M6" s="2841"/>
      <c r="N6" s="2841"/>
      <c r="O6" s="2841"/>
      <c r="P6" s="2841"/>
      <c r="Q6" s="2841"/>
      <c r="R6" s="2841"/>
      <c r="S6" s="2841"/>
      <c r="T6" s="2841"/>
      <c r="U6" s="2841"/>
      <c r="V6" s="2841"/>
      <c r="W6" s="2841"/>
      <c r="X6" s="2841"/>
      <c r="Y6" s="2841"/>
      <c r="Z6" s="2841"/>
      <c r="AA6" s="2841"/>
      <c r="AB6" s="2841"/>
      <c r="AC6" s="2841"/>
      <c r="AD6" s="2841"/>
      <c r="AE6" s="2841"/>
      <c r="AF6" s="2841"/>
      <c r="AG6" s="2841"/>
      <c r="AH6" s="2841"/>
      <c r="AI6" s="2841"/>
      <c r="AJ6" s="2841"/>
      <c r="AK6" s="2841"/>
      <c r="AL6" s="2841"/>
      <c r="AM6" s="2841"/>
      <c r="AN6" s="2841"/>
      <c r="AO6" s="2841"/>
      <c r="AP6" s="2841"/>
      <c r="AQ6" s="2841"/>
      <c r="AR6" s="2841"/>
      <c r="AS6" s="2841"/>
      <c r="AT6" s="2841"/>
      <c r="AU6" s="2841"/>
      <c r="AV6" s="2841"/>
      <c r="AW6" s="2841"/>
      <c r="AX6" s="2841"/>
      <c r="AY6" s="2841"/>
      <c r="AZ6" s="2841"/>
      <c r="BA6" s="2841"/>
      <c r="BB6" s="2841"/>
      <c r="BC6" s="2841"/>
      <c r="BD6" s="2841"/>
      <c r="BE6" s="2841"/>
      <c r="BF6" s="2841"/>
      <c r="BG6" s="2841"/>
      <c r="BH6" s="2841"/>
      <c r="BI6" s="2841"/>
      <c r="BJ6" s="2841"/>
      <c r="BK6" s="2841"/>
      <c r="BL6" s="2841"/>
      <c r="BM6" s="2841"/>
      <c r="BN6" s="2841"/>
      <c r="BO6" s="2841"/>
      <c r="BP6" s="2841"/>
      <c r="BQ6" s="2841"/>
      <c r="BR6" s="2841"/>
      <c r="BS6" s="2841"/>
      <c r="GC6" s="1570">
        <v>18</v>
      </c>
    </row>
    <row s="36936" customFormat="1" customHeight="1" ht="10.5">
      <c r="B7" s="1558"/>
      <c r="E7" s="1559"/>
      <c r="F7" s="1559"/>
      <c r="G7" s="1561"/>
      <c r="H7" s="1555"/>
      <c r="I7" s="1555"/>
      <c r="J7" s="1555"/>
      <c r="K7" s="1555"/>
      <c r="L7" s="1555"/>
      <c r="M7" s="1559"/>
      <c r="N7" s="1559"/>
      <c r="O7" s="1559"/>
      <c r="P7" s="1559"/>
      <c r="Q7" s="1559"/>
      <c r="R7" s="1559"/>
      <c r="S7" s="1559"/>
      <c r="T7" s="1559"/>
      <c r="U7" s="1559"/>
      <c r="V7" s="1559"/>
      <c r="W7" s="1559"/>
      <c r="X7" s="1559"/>
      <c r="Y7" s="1559"/>
      <c r="Z7" s="1559"/>
      <c r="AA7" s="1559"/>
      <c r="AB7" s="1559"/>
      <c r="AC7" s="1559"/>
      <c r="AD7" s="1559"/>
      <c r="AE7" s="1559"/>
      <c r="AF7" s="1559"/>
      <c r="AG7" s="1559"/>
      <c r="AH7" s="1559"/>
      <c r="AI7" s="1559"/>
      <c r="AJ7" s="1559"/>
      <c r="AK7" s="1559"/>
      <c r="AL7" s="1559"/>
      <c r="AM7" s="1559"/>
      <c r="AN7" s="1559"/>
      <c r="AO7" s="1559"/>
      <c r="AP7" s="1559"/>
      <c r="AQ7" s="1559"/>
      <c r="AR7" s="1559"/>
      <c r="AS7" s="1559"/>
      <c r="AT7" s="1559"/>
      <c r="AU7" s="1559"/>
      <c r="AV7" s="1559"/>
      <c r="AW7" s="1559"/>
      <c r="AX7" s="1559"/>
      <c r="AY7" s="1559"/>
      <c r="AZ7" s="1559"/>
      <c r="BA7" s="1559"/>
      <c r="BB7" s="1559"/>
      <c r="BC7" s="1559"/>
      <c r="BD7" s="1559"/>
      <c r="BE7" s="1559"/>
      <c r="BF7" s="1559"/>
      <c r="BG7" s="1559"/>
      <c r="BH7" s="1559"/>
      <c r="BI7" s="1559"/>
      <c r="BJ7" s="1559"/>
      <c r="BK7" s="1559"/>
      <c r="BL7" s="1559"/>
      <c r="BM7" s="1559"/>
      <c r="BN7" s="1559"/>
      <c r="BO7" s="1559"/>
      <c r="BP7" s="1559"/>
      <c r="BQ7" s="1559"/>
      <c r="BR7" s="1559"/>
      <c r="BS7" s="1559"/>
      <c r="BT7" s="1559"/>
      <c r="BU7" s="1559"/>
      <c r="BV7" s="1559"/>
      <c r="BW7" s="1559"/>
      <c r="BX7" s="1559"/>
      <c r="BY7" s="1559"/>
      <c r="BZ7" s="1559"/>
      <c r="CA7" s="1559"/>
      <c r="CB7" s="1559"/>
      <c r="CC7" s="1559"/>
      <c r="CD7" s="1559"/>
      <c r="CE7" s="1559"/>
      <c r="CF7" s="1559"/>
      <c r="CG7" s="1559"/>
      <c r="CH7" s="1559"/>
      <c r="CI7" s="1559"/>
      <c r="CJ7" s="1559"/>
      <c r="CK7" s="1559"/>
      <c r="CL7" s="1559"/>
      <c r="CM7" s="1559"/>
      <c r="CN7" s="1559"/>
      <c r="CO7" s="1559"/>
      <c r="CP7" s="1559"/>
      <c r="CQ7" s="1559"/>
      <c r="CR7" s="1559"/>
      <c r="CS7" s="1559"/>
      <c r="CT7" s="1559"/>
      <c r="CU7" s="1559"/>
      <c r="CV7" s="1559"/>
      <c r="CW7" s="1559"/>
      <c r="CX7" s="1559"/>
      <c r="CY7" s="1559"/>
      <c r="CZ7" s="1559"/>
      <c r="DA7" s="1559"/>
      <c r="DB7" s="1559"/>
      <c r="DC7" s="1559"/>
      <c r="DD7" s="1559"/>
      <c r="DE7" s="1559"/>
      <c r="DF7" s="1559"/>
      <c r="DG7" s="1559"/>
      <c r="DH7" s="1559"/>
      <c r="DI7" s="1559"/>
      <c r="DJ7" s="1559"/>
      <c r="DK7" s="1559"/>
      <c r="DL7" s="1559"/>
      <c r="DM7" s="1559"/>
      <c r="DN7" s="1559"/>
      <c r="DO7" s="1559"/>
      <c r="DP7" s="1559"/>
      <c r="DQ7" s="1559"/>
      <c r="DR7" s="1559"/>
      <c r="DS7" s="1559"/>
      <c r="DT7" s="1559"/>
      <c r="DU7" s="1559"/>
      <c r="DV7" s="1559"/>
      <c r="DW7" s="1559"/>
      <c r="DX7" s="1559"/>
      <c r="DY7" s="1559"/>
      <c r="DZ7" s="1559"/>
      <c r="EA7" s="1559"/>
      <c r="EB7" s="1559"/>
      <c r="EC7" s="1559"/>
      <c r="ED7" s="1559"/>
      <c r="EE7" s="1559"/>
      <c r="EF7" s="1559"/>
      <c r="EG7" s="1559"/>
      <c r="EH7" s="1559"/>
      <c r="EI7" s="1559"/>
      <c r="EJ7" s="1559"/>
      <c r="EK7" s="1559"/>
      <c r="EL7" s="1559"/>
      <c r="EM7" s="1559"/>
      <c r="EN7" s="1559"/>
      <c r="EO7" s="1559"/>
      <c r="EP7" s="1559"/>
      <c r="EQ7" s="1559"/>
      <c r="ER7" s="1559"/>
      <c r="ES7" s="1559"/>
      <c r="ET7" s="1559"/>
      <c r="EU7" s="1559"/>
      <c r="EV7" s="1559"/>
      <c r="EW7" s="1559"/>
      <c r="EX7" s="1559"/>
      <c r="EY7" s="1559"/>
      <c r="EZ7" s="1559"/>
      <c r="FA7" s="1559"/>
      <c r="FB7" s="1559"/>
      <c r="FC7" s="1559"/>
      <c r="FD7" s="1559"/>
      <c r="FE7" s="1559"/>
      <c r="FF7" s="1559"/>
      <c r="FG7" s="1559"/>
      <c r="FH7" s="1559"/>
      <c r="FI7" s="1559"/>
      <c r="FJ7" s="1559"/>
      <c r="FK7" s="1559"/>
      <c r="FL7" s="1559"/>
      <c r="FM7" s="1559"/>
      <c r="FN7" s="1559"/>
      <c r="FO7" s="1559"/>
      <c r="FP7" s="1559"/>
      <c r="FQ7" s="1559"/>
      <c r="FR7" s="1559"/>
      <c r="FS7" s="1559"/>
      <c r="FT7" s="1559"/>
      <c r="FU7" s="1559"/>
      <c r="FV7" s="1559"/>
      <c r="FW7" s="1559"/>
      <c r="GC7" s="1557">
        <v>10</v>
      </c>
    </row>
    <row s="36936" customFormat="1" customHeight="1" ht="11.25" hidden="1">
      <c r="B8" s="1560"/>
      <c r="F8" s="1682"/>
      <c r="G8" s="1389"/>
      <c r="H8" s="986"/>
      <c r="I8" s="986"/>
      <c r="J8" s="986"/>
      <c r="K8" s="986"/>
      <c r="L8" s="986"/>
      <c r="M8" s="1682"/>
      <c r="N8" s="1682"/>
      <c r="O8" s="3076" t="s">
        <v>1253</v>
      </c>
      <c r="P8" s="3077"/>
      <c r="Q8" s="3077"/>
      <c r="R8" s="3077"/>
      <c r="S8" s="3077"/>
      <c r="T8" s="3077"/>
      <c r="U8" s="3077"/>
      <c r="V8" s="3077"/>
      <c r="W8" s="3077"/>
      <c r="X8" s="3077"/>
      <c r="Y8" s="3077"/>
      <c r="Z8" s="3077"/>
      <c r="AA8" s="3077"/>
      <c r="AB8" s="3077"/>
      <c r="AC8" s="3077"/>
      <c r="AD8" s="3077"/>
      <c r="AE8" s="3077"/>
      <c r="AF8" s="3077"/>
      <c r="AG8" s="3077"/>
      <c r="AH8" s="3077"/>
      <c r="AI8" s="3077"/>
      <c r="AJ8" s="3077"/>
      <c r="AK8" s="3077"/>
      <c r="AL8" s="3077"/>
      <c r="AM8" s="3077"/>
      <c r="AN8" s="3077"/>
      <c r="AO8" s="3077"/>
      <c r="AP8" s="3077"/>
      <c r="AQ8" s="3077"/>
      <c r="AR8" s="3077"/>
      <c r="AS8" s="3077"/>
      <c r="AT8" s="3077"/>
      <c r="AU8" s="3077"/>
      <c r="AV8" s="3077"/>
      <c r="AW8" s="3077"/>
      <c r="AX8" s="3077"/>
      <c r="AY8" s="3077"/>
      <c r="AZ8" s="3077"/>
      <c r="BA8" s="3077"/>
      <c r="BB8" s="3077"/>
      <c r="BC8" s="3077"/>
      <c r="BD8" s="3077"/>
      <c r="BE8" s="3077"/>
      <c r="BF8" s="3077"/>
      <c r="BG8" s="3077"/>
      <c r="BH8" s="3077"/>
      <c r="BI8" s="3077"/>
      <c r="BJ8" s="3077"/>
      <c r="BK8" s="3077"/>
      <c r="BL8" s="3077"/>
      <c r="BM8" s="3077"/>
      <c r="BN8" s="3077"/>
      <c r="BO8" s="3077"/>
      <c r="BP8" s="3077"/>
      <c r="BQ8" s="3077"/>
      <c r="BR8" s="3077"/>
      <c r="BS8" s="3078"/>
      <c r="BT8" s="3065"/>
      <c r="BU8" s="3066"/>
      <c r="BV8" s="3066"/>
      <c r="BW8" s="3066"/>
      <c r="BX8" s="3066"/>
      <c r="BY8" s="3066"/>
      <c r="BZ8" s="3066"/>
      <c r="CA8" s="3066"/>
      <c r="CB8" s="3066"/>
      <c r="CC8" s="3066"/>
      <c r="CD8" s="3066"/>
      <c r="CE8" s="3066"/>
      <c r="CF8" s="3066"/>
      <c r="CG8" s="3066"/>
      <c r="CH8" s="3066"/>
      <c r="CI8" s="3066"/>
      <c r="CJ8" s="3066"/>
      <c r="CK8" s="3066"/>
      <c r="CL8" s="3066"/>
      <c r="CM8" s="3066"/>
      <c r="CN8" s="3066"/>
      <c r="CO8" s="3066"/>
      <c r="CP8" s="3066"/>
      <c r="CQ8" s="3066"/>
      <c r="CR8" s="3066"/>
      <c r="CS8" s="3066"/>
      <c r="CT8" s="3066"/>
      <c r="CU8" s="3066"/>
      <c r="CV8" s="3066"/>
      <c r="CW8" s="3066"/>
      <c r="CX8" s="3067"/>
      <c r="CY8" s="3068"/>
      <c r="CZ8" s="3069"/>
      <c r="DA8" s="3069"/>
      <c r="DB8" s="3069"/>
      <c r="DC8" s="3069"/>
      <c r="DD8" s="3069"/>
      <c r="DE8" s="3069"/>
      <c r="DF8" s="3069"/>
      <c r="DG8" s="3069"/>
      <c r="DH8" s="3069"/>
      <c r="DI8" s="3069"/>
      <c r="DJ8" s="3069"/>
      <c r="DK8" s="3069"/>
      <c r="DL8" s="3069"/>
      <c r="DM8" s="3069"/>
      <c r="DN8" s="3069"/>
      <c r="DO8" s="3069"/>
      <c r="DP8" s="3069"/>
      <c r="DQ8" s="3069"/>
      <c r="DR8" s="3069"/>
      <c r="DS8" s="3069"/>
      <c r="DT8" s="3069"/>
      <c r="DU8" s="3069"/>
      <c r="DV8" s="3069"/>
      <c r="DW8" s="3069"/>
      <c r="DX8" s="3070"/>
      <c r="DY8" s="3071" t="s">
        <v>1254</v>
      </c>
      <c r="DZ8" s="3072"/>
      <c r="EA8" s="3072"/>
      <c r="EB8" s="3072"/>
      <c r="EC8" s="3072"/>
      <c r="ED8" s="3072"/>
      <c r="EE8" s="3072"/>
      <c r="EF8" s="3072"/>
      <c r="EG8" s="3072"/>
      <c r="EH8" s="3072"/>
      <c r="EI8" s="3072"/>
      <c r="EJ8" s="3072"/>
      <c r="EK8" s="3072"/>
      <c r="EL8" s="3072"/>
      <c r="EM8" s="3072"/>
      <c r="EN8" s="3072"/>
      <c r="EO8" s="3072"/>
      <c r="EP8" s="3072"/>
      <c r="EQ8" s="3072"/>
      <c r="ER8" s="3072"/>
      <c r="ES8" s="3072"/>
      <c r="ET8" s="3072"/>
      <c r="EU8" s="3072"/>
      <c r="EV8" s="3072"/>
      <c r="EW8" s="3072"/>
      <c r="EX8" s="3072"/>
      <c r="EY8" s="3072"/>
      <c r="EZ8" s="3072"/>
      <c r="FA8" s="3072"/>
      <c r="FB8" s="3072"/>
      <c r="FC8" s="3072"/>
      <c r="FD8" s="3072"/>
      <c r="FE8" s="3072"/>
      <c r="FF8" s="3072"/>
      <c r="FG8" s="3072"/>
      <c r="FH8" s="3072"/>
      <c r="FI8" s="3072"/>
      <c r="FJ8" s="3072"/>
      <c r="FK8" s="3072"/>
      <c r="FL8" s="3072"/>
      <c r="FM8" s="3072"/>
      <c r="FN8" s="3072"/>
      <c r="FO8" s="3072"/>
      <c r="FP8" s="3072"/>
      <c r="FQ8" s="3072"/>
      <c r="FR8" s="3072"/>
      <c r="FS8" s="3072"/>
      <c r="FT8" s="3072"/>
      <c r="FU8" s="3072"/>
      <c r="FV8" s="3072"/>
      <c r="FW8" s="3073"/>
      <c r="FX8" s="1682"/>
      <c r="GC8" s="1559">
        <v>0</v>
      </c>
    </row>
    <row s="36936" customFormat="1" customHeight="1" ht="11.25" hidden="1">
      <c r="B9" s="1560"/>
      <c r="F9" s="1682"/>
      <c r="G9" s="1389"/>
      <c r="H9" s="986"/>
      <c r="I9" s="986"/>
      <c r="J9" s="986"/>
      <c r="K9" s="986"/>
      <c r="L9" s="986"/>
      <c r="M9" s="1682"/>
      <c r="N9" s="1682"/>
      <c r="O9" s="1682"/>
      <c r="P9" s="1682"/>
      <c r="Q9" s="1682"/>
      <c r="R9" s="1682"/>
      <c r="S9" s="1682"/>
      <c r="T9" s="1682"/>
      <c r="U9" s="1682"/>
      <c r="V9" s="1682"/>
      <c r="W9" s="1682"/>
      <c r="X9" s="1682"/>
      <c r="Y9" s="1682"/>
      <c r="Z9" s="1682"/>
      <c r="AA9" s="1682"/>
      <c r="AB9" s="1682"/>
      <c r="AC9" s="1682"/>
      <c r="AD9" s="1682"/>
      <c r="AE9" s="1682"/>
      <c r="AF9" s="1682"/>
      <c r="AG9" s="1682"/>
      <c r="AH9" s="1682"/>
      <c r="AI9" s="1682"/>
      <c r="AJ9" s="1682"/>
      <c r="AK9" s="1682"/>
      <c r="AL9" s="1682"/>
      <c r="AM9" s="1682"/>
      <c r="AN9" s="1682"/>
      <c r="AO9" s="1682"/>
      <c r="AP9" s="1682"/>
      <c r="AQ9" s="1682"/>
      <c r="AR9" s="1682"/>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c r="BP9" s="1682"/>
      <c r="BQ9" s="1682"/>
      <c r="BR9" s="1682"/>
      <c r="BS9" s="1682"/>
      <c r="BT9" s="1682"/>
      <c r="BU9" s="1682"/>
      <c r="BV9" s="1682"/>
      <c r="BW9" s="1682"/>
      <c r="BX9" s="1682"/>
      <c r="BY9" s="1682"/>
      <c r="BZ9" s="1682"/>
      <c r="CA9" s="1682"/>
      <c r="CB9" s="1682"/>
      <c r="CC9" s="1682"/>
      <c r="CD9" s="1682"/>
      <c r="CE9" s="1682"/>
      <c r="CF9" s="1682"/>
      <c r="CG9" s="1682"/>
      <c r="CH9" s="1682"/>
      <c r="CI9" s="1682"/>
      <c r="CJ9" s="1682"/>
      <c r="CK9" s="1682"/>
      <c r="CL9" s="1682"/>
      <c r="CM9" s="1682"/>
      <c r="CN9" s="1682"/>
      <c r="CO9" s="1682"/>
      <c r="CP9" s="1682"/>
      <c r="CQ9" s="1682"/>
      <c r="CR9" s="1682"/>
      <c r="CS9" s="1682"/>
      <c r="CT9" s="1682"/>
      <c r="CU9" s="1682"/>
      <c r="CV9" s="1682"/>
      <c r="CW9" s="1682"/>
      <c r="CX9" s="1682"/>
      <c r="CY9" s="1682"/>
      <c r="CZ9" s="1682"/>
      <c r="DA9" s="1682"/>
      <c r="DB9" s="1682"/>
      <c r="DC9" s="1682"/>
      <c r="DD9" s="1682"/>
      <c r="DE9" s="1682"/>
      <c r="DF9" s="1682"/>
      <c r="DG9" s="1682"/>
      <c r="DH9" s="1682"/>
      <c r="DI9" s="1682"/>
      <c r="DJ9" s="1682"/>
      <c r="DK9" s="1682"/>
      <c r="DL9" s="1682"/>
      <c r="DM9" s="1682"/>
      <c r="DN9" s="1682"/>
      <c r="DO9" s="1682"/>
      <c r="DP9" s="1682"/>
      <c r="DQ9" s="1682"/>
      <c r="DR9" s="1682"/>
      <c r="DS9" s="1682"/>
      <c r="DT9" s="1682"/>
      <c r="DU9" s="1682"/>
      <c r="DV9" s="1682"/>
      <c r="DW9" s="1682"/>
      <c r="DX9" s="1682"/>
      <c r="DY9" s="1682"/>
      <c r="DZ9" s="1682"/>
      <c r="EA9" s="1682"/>
      <c r="EB9" s="1682"/>
      <c r="EC9" s="1682"/>
      <c r="ED9" s="1682"/>
      <c r="EE9" s="1682"/>
      <c r="EF9" s="1682"/>
      <c r="EG9" s="1682"/>
      <c r="EH9" s="1682"/>
      <c r="EI9" s="1682"/>
      <c r="EJ9" s="1682"/>
      <c r="EK9" s="1682"/>
      <c r="EL9" s="1682"/>
      <c r="EM9" s="1682"/>
      <c r="EN9" s="1682"/>
      <c r="EO9" s="1682"/>
      <c r="EP9" s="1682"/>
      <c r="EQ9" s="1682"/>
      <c r="ER9" s="1682"/>
      <c r="ES9" s="1682"/>
      <c r="ET9" s="1682"/>
      <c r="EU9" s="1682"/>
      <c r="EV9" s="1682"/>
      <c r="EW9" s="1682"/>
      <c r="EX9" s="1682"/>
      <c r="EY9" s="1682"/>
      <c r="EZ9" s="1682"/>
      <c r="FA9" s="1682"/>
      <c r="FB9" s="1682"/>
      <c r="FC9" s="1682"/>
      <c r="FD9" s="1682"/>
      <c r="FE9" s="1682"/>
      <c r="FF9" s="1682"/>
      <c r="FG9" s="1682"/>
      <c r="FH9" s="1682"/>
      <c r="FI9" s="1682"/>
      <c r="FJ9" s="1682"/>
      <c r="FK9" s="1682"/>
      <c r="FL9" s="1682"/>
      <c r="FM9" s="1682"/>
      <c r="FN9" s="1682"/>
      <c r="FO9" s="1682"/>
      <c r="FP9" s="1682"/>
      <c r="FQ9" s="1682"/>
      <c r="FR9" s="1682"/>
      <c r="FS9" s="1682"/>
      <c r="FT9" s="1682"/>
      <c r="FU9" s="1682"/>
      <c r="FV9" s="1682"/>
      <c r="FW9" s="3074"/>
      <c r="FX9" s="1682"/>
      <c r="GC9" s="1559">
        <v>0</v>
      </c>
    </row>
    <row s="36936" customFormat="1" customHeight="1" ht="11.549999999999999">
      <c r="B10" s="1560"/>
      <c r="F10" s="3055" t="s">
        <v>318</v>
      </c>
      <c r="G10" s="3056"/>
      <c r="H10" s="3056"/>
      <c r="I10" s="3056"/>
      <c r="J10" s="3056"/>
      <c r="K10" s="3056"/>
      <c r="L10" s="3056"/>
      <c r="M10" s="3056"/>
      <c r="N10" s="3056"/>
      <c r="O10" s="3056"/>
      <c r="P10" s="3056"/>
      <c r="Q10" s="3056"/>
      <c r="R10" s="3056"/>
      <c r="S10" s="3056"/>
      <c r="T10" s="3056"/>
      <c r="U10" s="3056"/>
      <c r="V10" s="3056"/>
      <c r="W10" s="3056"/>
      <c r="X10" s="3056"/>
      <c r="Y10" s="3056"/>
      <c r="Z10" s="3056"/>
      <c r="AA10" s="3056"/>
      <c r="AB10" s="3056"/>
      <c r="AC10" s="3056"/>
      <c r="AD10" s="3056"/>
      <c r="AE10" s="3056"/>
      <c r="AF10" s="3056"/>
      <c r="AG10" s="3056"/>
      <c r="AH10" s="3056"/>
      <c r="AI10" s="3056"/>
      <c r="AJ10" s="3056"/>
      <c r="AK10" s="3056"/>
      <c r="AL10" s="3056"/>
      <c r="AM10" s="3056"/>
      <c r="AN10" s="3056"/>
      <c r="AO10" s="3056"/>
      <c r="AP10" s="3056"/>
      <c r="AQ10" s="3056"/>
      <c r="AR10" s="3056"/>
      <c r="AS10" s="3056"/>
      <c r="AT10" s="3056"/>
      <c r="AU10" s="3056"/>
      <c r="AV10" s="3056"/>
      <c r="AW10" s="3056"/>
      <c r="AX10" s="3056"/>
      <c r="AY10" s="3056"/>
      <c r="AZ10" s="3056"/>
      <c r="BA10" s="3056"/>
      <c r="BB10" s="3056"/>
      <c r="BC10" s="3056"/>
      <c r="BD10" s="3056"/>
      <c r="BE10" s="3056"/>
      <c r="BF10" s="3056"/>
      <c r="BG10" s="3056"/>
      <c r="BH10" s="3056"/>
      <c r="BI10" s="3056"/>
      <c r="BJ10" s="3056"/>
      <c r="BK10" s="3056"/>
      <c r="BL10" s="3056"/>
      <c r="BM10" s="3056"/>
      <c r="BN10" s="3056"/>
      <c r="BO10" s="3056"/>
      <c r="BP10" s="3056"/>
      <c r="BQ10" s="3056"/>
      <c r="BR10" s="3056"/>
      <c r="BS10" s="3056"/>
      <c r="BT10" s="3056"/>
      <c r="BU10" s="3056"/>
      <c r="BV10" s="3056"/>
      <c r="BW10" s="3056"/>
      <c r="BX10" s="3056"/>
      <c r="BY10" s="3056"/>
      <c r="BZ10" s="3056"/>
      <c r="CA10" s="3056"/>
      <c r="CB10" s="3056"/>
      <c r="CC10" s="3056"/>
      <c r="CD10" s="3056"/>
      <c r="CE10" s="3056"/>
      <c r="CF10" s="3056"/>
      <c r="CG10" s="3056"/>
      <c r="CH10" s="3056"/>
      <c r="CI10" s="3056"/>
      <c r="CJ10" s="3056"/>
      <c r="CK10" s="3056"/>
      <c r="CL10" s="3056"/>
      <c r="CM10" s="3056"/>
      <c r="CN10" s="3056"/>
      <c r="CO10" s="3056"/>
      <c r="CP10" s="3056"/>
      <c r="CQ10" s="3056"/>
      <c r="CR10" s="3056"/>
      <c r="CS10" s="3056"/>
      <c r="CT10" s="3056"/>
      <c r="CU10" s="3056"/>
      <c r="CV10" s="3056"/>
      <c r="CW10" s="3056"/>
      <c r="CX10" s="3056"/>
      <c r="CY10" s="3056"/>
      <c r="CZ10" s="3056"/>
      <c r="DA10" s="3056"/>
      <c r="DB10" s="3056"/>
      <c r="DC10" s="3056"/>
      <c r="DD10" s="3056"/>
      <c r="DE10" s="3056"/>
      <c r="DF10" s="3056"/>
      <c r="DG10" s="3056"/>
      <c r="DH10" s="3056"/>
      <c r="DI10" s="3056"/>
      <c r="DJ10" s="3056"/>
      <c r="DK10" s="3056"/>
      <c r="DL10" s="3056"/>
      <c r="DM10" s="3056"/>
      <c r="DN10" s="3056"/>
      <c r="DO10" s="3056"/>
      <c r="DP10" s="3056"/>
      <c r="DQ10" s="3056"/>
      <c r="DR10" s="3056"/>
      <c r="DS10" s="3056"/>
      <c r="DT10" s="3056"/>
      <c r="DU10" s="3056"/>
      <c r="DV10" s="3056"/>
      <c r="DW10" s="3056"/>
      <c r="DX10" s="3056"/>
      <c r="DY10" s="3056"/>
      <c r="DZ10" s="3056"/>
      <c r="EA10" s="3056"/>
      <c r="EB10" s="3056"/>
      <c r="EC10" s="3056"/>
      <c r="ED10" s="3056"/>
      <c r="EE10" s="3056"/>
      <c r="EF10" s="3056"/>
      <c r="EG10" s="3056"/>
      <c r="EH10" s="3056"/>
      <c r="EI10" s="3056"/>
      <c r="EJ10" s="3056"/>
      <c r="EK10" s="3056"/>
      <c r="EL10" s="3056"/>
      <c r="EM10" s="3056"/>
      <c r="EN10" s="3056"/>
      <c r="EO10" s="3056"/>
      <c r="EP10" s="3056"/>
      <c r="EQ10" s="3056"/>
      <c r="ER10" s="3056"/>
      <c r="ES10" s="3056"/>
      <c r="ET10" s="3056"/>
      <c r="EU10" s="3056"/>
      <c r="EV10" s="3056"/>
      <c r="EW10" s="3056"/>
      <c r="EX10" s="3056"/>
      <c r="EY10" s="3056"/>
      <c r="EZ10" s="3056"/>
      <c r="FA10" s="3056"/>
      <c r="FB10" s="3056"/>
      <c r="FC10" s="3056"/>
      <c r="FD10" s="3056"/>
      <c r="FE10" s="3056"/>
      <c r="FF10" s="3056"/>
      <c r="FG10" s="3056"/>
      <c r="FH10" s="3056"/>
      <c r="FI10" s="3056"/>
      <c r="FJ10" s="3056"/>
      <c r="FK10" s="3056"/>
      <c r="FL10" s="3056"/>
      <c r="FM10" s="3056"/>
      <c r="FN10" s="3056"/>
      <c r="FO10" s="3056"/>
      <c r="FP10" s="3056"/>
      <c r="FQ10" s="3056"/>
      <c r="FR10" s="3056"/>
      <c r="FS10" s="3056"/>
      <c r="FT10" s="3056"/>
      <c r="FU10" s="3056"/>
      <c r="FV10" s="3057"/>
      <c r="FW10" s="3074"/>
      <c r="FX10" s="1682"/>
      <c r="GC10" s="1559">
        <v>11</v>
      </c>
    </row>
    <row customHeight="1" ht="12.75">
      <c r="E11" s="1563"/>
      <c r="F11" s="2831" t="s">
        <v>88</v>
      </c>
      <c r="G11" s="2831" t="s">
        <v>1255</v>
      </c>
      <c r="H11" s="3063" t="s">
        <v>1256</v>
      </c>
      <c r="I11" s="3063" t="s">
        <v>1257</v>
      </c>
      <c r="J11" s="3064"/>
      <c r="K11" s="3064"/>
      <c r="L11" s="3064"/>
      <c r="M11" s="3064"/>
      <c r="N11" s="3064"/>
      <c r="O11" s="2835" t="s">
        <v>1258</v>
      </c>
      <c r="P11" s="2835"/>
      <c r="Q11" s="2835"/>
      <c r="R11" s="2835"/>
      <c r="S11" s="2835"/>
      <c r="T11" s="2835"/>
      <c r="U11" s="2835"/>
      <c r="V11" s="2835"/>
      <c r="W11" s="2835"/>
      <c r="X11" s="2835"/>
      <c r="Y11" s="2835"/>
      <c r="Z11" s="2835"/>
      <c r="AA11" s="2835"/>
      <c r="AB11" s="2835"/>
      <c r="AC11" s="3060"/>
      <c r="AD11" s="3060"/>
      <c r="AE11" s="3060"/>
      <c r="AF11" s="3060"/>
      <c r="AG11" s="3060"/>
      <c r="AH11" s="3060"/>
      <c r="AI11" s="3060"/>
      <c r="AJ11" s="3060"/>
      <c r="AK11" s="3060"/>
      <c r="AL11" s="3060"/>
      <c r="AM11" s="3060"/>
      <c r="AN11" s="3060"/>
      <c r="AO11" s="3060"/>
      <c r="AP11" s="3060"/>
      <c r="AQ11" s="3060"/>
      <c r="AR11" s="3060"/>
      <c r="AS11" s="3060"/>
      <c r="AT11" s="3060"/>
      <c r="AU11" s="3060"/>
      <c r="AV11" s="3060"/>
      <c r="AW11" s="3060"/>
      <c r="AX11" s="3060"/>
      <c r="AY11" s="3060"/>
      <c r="AZ11" s="3060"/>
      <c r="BA11" s="3060"/>
      <c r="BB11" s="3060"/>
      <c r="BC11" s="3060"/>
      <c r="BD11" s="3060"/>
      <c r="BE11" s="3060"/>
      <c r="BF11" s="3060"/>
      <c r="BG11" s="3060"/>
      <c r="BH11" s="3060"/>
      <c r="BI11" s="3060"/>
      <c r="BJ11" s="3060"/>
      <c r="BK11" s="3060"/>
      <c r="BL11" s="3060"/>
      <c r="BM11" s="3060"/>
      <c r="BN11" s="3060"/>
      <c r="BO11" s="3060"/>
      <c r="BP11" s="3060"/>
      <c r="BQ11" s="3060"/>
      <c r="BR11" s="3060"/>
      <c r="BS11" s="3079"/>
      <c r="BT11" s="3012" t="s">
        <v>1258</v>
      </c>
      <c r="BU11" s="3013"/>
      <c r="BV11" s="3013"/>
      <c r="BW11" s="3013"/>
      <c r="BX11" s="3013"/>
      <c r="BY11" s="3013"/>
      <c r="BZ11" s="3013"/>
      <c r="CA11" s="3013"/>
      <c r="CB11" s="3013"/>
      <c r="CC11" s="3013"/>
      <c r="CD11" s="3013"/>
      <c r="CE11" s="3013"/>
      <c r="CF11" s="3013"/>
      <c r="CG11" s="3013"/>
      <c r="CH11" s="3013"/>
      <c r="CI11" s="3013"/>
      <c r="CJ11" s="3013"/>
      <c r="CK11" s="3059"/>
      <c r="CL11" s="3062"/>
      <c r="CM11" s="3060"/>
      <c r="CN11" s="3060"/>
      <c r="CO11" s="3060"/>
      <c r="CP11" s="3060"/>
      <c r="CQ11" s="3060"/>
      <c r="CR11" s="3060"/>
      <c r="CS11" s="3060"/>
      <c r="CT11" s="3060"/>
      <c r="CU11" s="3060"/>
      <c r="CV11" s="3060"/>
      <c r="CW11" s="3060"/>
      <c r="CX11" s="3079"/>
      <c r="CY11" s="3012" t="s">
        <v>1258</v>
      </c>
      <c r="CZ11" s="3013"/>
      <c r="DA11" s="3013"/>
      <c r="DB11" s="3013"/>
      <c r="DC11" s="3013"/>
      <c r="DD11" s="3013"/>
      <c r="DE11" s="3013"/>
      <c r="DF11" s="3013"/>
      <c r="DG11" s="3013"/>
      <c r="DH11" s="3013"/>
      <c r="DI11" s="3013"/>
      <c r="DJ11" s="3059"/>
      <c r="DK11" s="3062"/>
      <c r="DL11" s="3060"/>
      <c r="DM11" s="3060"/>
      <c r="DN11" s="3060"/>
      <c r="DO11" s="3060"/>
      <c r="DP11" s="3060"/>
      <c r="DQ11" s="3060"/>
      <c r="DR11" s="3060"/>
      <c r="DS11" s="3060"/>
      <c r="DT11" s="3060"/>
      <c r="DU11" s="3060"/>
      <c r="DV11" s="3060"/>
      <c r="DW11" s="3060"/>
      <c r="DX11" s="3060"/>
      <c r="DY11" s="3060"/>
      <c r="DZ11" s="3060"/>
      <c r="EA11" s="3060"/>
      <c r="EB11" s="3060"/>
      <c r="EC11" s="3060"/>
      <c r="ED11" s="3060"/>
      <c r="EE11" s="3060"/>
      <c r="EF11" s="3060"/>
      <c r="EG11" s="3060"/>
      <c r="EH11" s="3060"/>
      <c r="EI11" s="3060"/>
      <c r="EJ11" s="3060"/>
      <c r="EK11" s="3060"/>
      <c r="EL11" s="3060"/>
      <c r="EM11" s="3060"/>
      <c r="EN11" s="3060"/>
      <c r="EO11" s="3060"/>
      <c r="EP11" s="3060"/>
      <c r="EQ11" s="3060"/>
      <c r="ER11" s="3060"/>
      <c r="ES11" s="3060"/>
      <c r="ET11" s="3060"/>
      <c r="EU11" s="3060"/>
      <c r="EV11" s="3060"/>
      <c r="EW11" s="3060"/>
      <c r="EX11" s="3060"/>
      <c r="EY11" s="3060"/>
      <c r="EZ11" s="3060"/>
      <c r="FA11" s="3060"/>
      <c r="FB11" s="3060"/>
      <c r="FC11" s="3060"/>
      <c r="FD11" s="3060"/>
      <c r="FE11" s="3060"/>
      <c r="FF11" s="3060"/>
      <c r="FG11" s="3060"/>
      <c r="FH11" s="3060"/>
      <c r="FI11" s="3060"/>
      <c r="FJ11" s="3060"/>
      <c r="FK11" s="3060"/>
      <c r="FL11" s="3060"/>
      <c r="FM11" s="3060"/>
      <c r="FN11" s="3060"/>
      <c r="FO11" s="3060"/>
      <c r="FP11" s="3060"/>
      <c r="FQ11" s="3060"/>
      <c r="FR11" s="3060"/>
      <c r="FS11" s="3060"/>
      <c r="FT11" s="3060"/>
      <c r="FU11" s="3060"/>
      <c r="FV11" s="3060"/>
      <c r="FW11" s="3074"/>
      <c r="FX11" s="1388"/>
      <c r="GC11" s="1552">
        <v>12</v>
      </c>
    </row>
    <row customHeight="1" ht="12.75">
      <c r="D12" s="1564"/>
      <c r="E12" s="1563"/>
      <c r="F12" s="2831"/>
      <c r="G12" s="2831"/>
      <c r="H12" s="3063"/>
      <c r="I12" s="3063"/>
      <c r="J12" s="3064"/>
      <c r="K12" s="3064"/>
      <c r="L12" s="3064"/>
      <c r="M12" s="3064"/>
      <c r="N12" s="3064"/>
      <c r="O12" s="2835" t="s">
        <v>1259</v>
      </c>
      <c r="P12" s="2835"/>
      <c r="Q12" s="2835"/>
      <c r="R12" s="2835"/>
      <c r="S12" s="2835" t="s">
        <v>1260</v>
      </c>
      <c r="T12" s="2835"/>
      <c r="U12" s="2835"/>
      <c r="V12" s="2835"/>
      <c r="W12" s="2835"/>
      <c r="X12" s="2835"/>
      <c r="Y12" s="2835"/>
      <c r="Z12" s="2835"/>
      <c r="AA12" s="2835"/>
      <c r="AB12" s="2835"/>
      <c r="AC12" s="3060"/>
      <c r="AD12" s="3060"/>
      <c r="AE12" s="3060"/>
      <c r="AF12" s="3060"/>
      <c r="AG12" s="3060"/>
      <c r="AH12" s="3060"/>
      <c r="AI12" s="3060"/>
      <c r="AJ12" s="3060"/>
      <c r="AK12" s="3060"/>
      <c r="AL12" s="3060"/>
      <c r="AM12" s="3060"/>
      <c r="AN12" s="3060"/>
      <c r="AO12" s="3060"/>
      <c r="AP12" s="3060"/>
      <c r="AQ12" s="3060"/>
      <c r="AR12" s="3060"/>
      <c r="AS12" s="3060"/>
      <c r="AT12" s="3060"/>
      <c r="AU12" s="3060"/>
      <c r="AV12" s="3060"/>
      <c r="AW12" s="3060"/>
      <c r="AX12" s="3060"/>
      <c r="AY12" s="3060"/>
      <c r="AZ12" s="3060"/>
      <c r="BA12" s="3060"/>
      <c r="BB12" s="3060"/>
      <c r="BC12" s="3060"/>
      <c r="BD12" s="3060"/>
      <c r="BE12" s="3060"/>
      <c r="BF12" s="3060"/>
      <c r="BG12" s="3060"/>
      <c r="BH12" s="3060"/>
      <c r="BI12" s="3060"/>
      <c r="BJ12" s="3060"/>
      <c r="BK12" s="3060"/>
      <c r="BL12" s="3060"/>
      <c r="BM12" s="3060"/>
      <c r="BN12" s="3060"/>
      <c r="BO12" s="3060"/>
      <c r="BP12" s="3060"/>
      <c r="BQ12" s="3060"/>
      <c r="BR12" s="3060"/>
      <c r="BS12" s="3079"/>
      <c r="BT12" s="3012" t="s">
        <v>1261</v>
      </c>
      <c r="BU12" s="3013"/>
      <c r="BV12" s="3013"/>
      <c r="BW12" s="3059"/>
      <c r="BX12" s="3012" t="s">
        <v>1262</v>
      </c>
      <c r="BY12" s="3013"/>
      <c r="BZ12" s="3013"/>
      <c r="CA12" s="3059"/>
      <c r="CB12" s="3012" t="s">
        <v>1263</v>
      </c>
      <c r="CC12" s="3059"/>
      <c r="CD12" s="3012" t="s">
        <v>1264</v>
      </c>
      <c r="CE12" s="3013"/>
      <c r="CF12" s="3013"/>
      <c r="CG12" s="3013"/>
      <c r="CH12" s="3013"/>
      <c r="CI12" s="3013"/>
      <c r="CJ12" s="3013"/>
      <c r="CK12" s="3059"/>
      <c r="CL12" s="3062"/>
      <c r="CM12" s="3060"/>
      <c r="CN12" s="3060"/>
      <c r="CO12" s="3060"/>
      <c r="CP12" s="3060"/>
      <c r="CQ12" s="3060"/>
      <c r="CR12" s="3060"/>
      <c r="CS12" s="3060"/>
      <c r="CT12" s="3060"/>
      <c r="CU12" s="3060"/>
      <c r="CV12" s="3060"/>
      <c r="CW12" s="3060"/>
      <c r="CX12" s="3079"/>
      <c r="CY12" s="3012" t="s">
        <v>1265</v>
      </c>
      <c r="CZ12" s="3013"/>
      <c r="DA12" s="3013"/>
      <c r="DB12" s="3013"/>
      <c r="DC12" s="3013"/>
      <c r="DD12" s="3059"/>
      <c r="DE12" s="3012" t="s">
        <v>1266</v>
      </c>
      <c r="DF12" s="3059"/>
      <c r="DG12" s="3012" t="s">
        <v>1264</v>
      </c>
      <c r="DH12" s="3013"/>
      <c r="DI12" s="3013"/>
      <c r="DJ12" s="3059"/>
      <c r="DK12" s="3062"/>
      <c r="DL12" s="3060"/>
      <c r="DM12" s="3060"/>
      <c r="DN12" s="3060"/>
      <c r="DO12" s="3060"/>
      <c r="DP12" s="3060"/>
      <c r="DQ12" s="3060"/>
      <c r="DR12" s="3060"/>
      <c r="DS12" s="3060"/>
      <c r="DT12" s="3060"/>
      <c r="DU12" s="3060"/>
      <c r="DV12" s="3060"/>
      <c r="DW12" s="3060"/>
      <c r="DX12" s="3060"/>
      <c r="DY12" s="3060"/>
      <c r="DZ12" s="3060"/>
      <c r="EA12" s="3060"/>
      <c r="EB12" s="3060"/>
      <c r="EC12" s="3060"/>
      <c r="ED12" s="3060"/>
      <c r="EE12" s="3060"/>
      <c r="EF12" s="3060"/>
      <c r="EG12" s="3060"/>
      <c r="EH12" s="3060"/>
      <c r="EI12" s="3060"/>
      <c r="EJ12" s="3060"/>
      <c r="EK12" s="3060"/>
      <c r="EL12" s="3060"/>
      <c r="EM12" s="3060"/>
      <c r="EN12" s="3060"/>
      <c r="EO12" s="3060"/>
      <c r="EP12" s="3060"/>
      <c r="EQ12" s="3060"/>
      <c r="ER12" s="3060"/>
      <c r="ES12" s="3060"/>
      <c r="ET12" s="3060"/>
      <c r="EU12" s="3060"/>
      <c r="EV12" s="3060"/>
      <c r="EW12" s="3060"/>
      <c r="EX12" s="3060"/>
      <c r="EY12" s="3060"/>
      <c r="EZ12" s="3060"/>
      <c r="FA12" s="3060"/>
      <c r="FB12" s="3060"/>
      <c r="FC12" s="3060"/>
      <c r="FD12" s="3060"/>
      <c r="FE12" s="3060"/>
      <c r="FF12" s="3060"/>
      <c r="FG12" s="3060"/>
      <c r="FH12" s="3060"/>
      <c r="FI12" s="3060"/>
      <c r="FJ12" s="3060"/>
      <c r="FK12" s="3060"/>
      <c r="FL12" s="3060"/>
      <c r="FM12" s="3060"/>
      <c r="FN12" s="3060"/>
      <c r="FO12" s="3060"/>
      <c r="FP12" s="3060"/>
      <c r="FQ12" s="3060"/>
      <c r="FR12" s="3060"/>
      <c r="FS12" s="3060"/>
      <c r="FT12" s="3060"/>
      <c r="FU12" s="3060"/>
      <c r="FV12" s="3060"/>
      <c r="FW12" s="3074"/>
      <c r="FX12" s="1388"/>
      <c r="GC12" s="1552">
        <v>12</v>
      </c>
    </row>
    <row customHeight="1" ht="37.8">
      <c r="D13" s="1564"/>
      <c r="E13" s="1563"/>
      <c r="F13" s="2831"/>
      <c r="G13" s="2831"/>
      <c r="H13" s="3063"/>
      <c r="I13" s="3063"/>
      <c r="J13" s="3064"/>
      <c r="K13" s="3064"/>
      <c r="L13" s="3064"/>
      <c r="M13" s="3064"/>
      <c r="N13" s="3064"/>
      <c r="O13" s="2835" t="s">
        <v>1267</v>
      </c>
      <c r="P13" s="2835"/>
      <c r="Q13" s="2835"/>
      <c r="R13" s="2835"/>
      <c r="S13" s="2962" t="s">
        <v>1268</v>
      </c>
      <c r="T13" s="3014"/>
      <c r="U13" s="2753" t="s">
        <v>1269</v>
      </c>
      <c r="V13" s="2753"/>
      <c r="W13" s="2753"/>
      <c r="X13" s="2753"/>
      <c r="Y13" s="2753" t="s">
        <v>1270</v>
      </c>
      <c r="Z13" s="2753"/>
      <c r="AA13" s="2753"/>
      <c r="AB13" s="2753"/>
      <c r="AC13" s="3060"/>
      <c r="AD13" s="3060"/>
      <c r="AE13" s="3060"/>
      <c r="AF13" s="3060"/>
      <c r="AG13" s="3060"/>
      <c r="AH13" s="3060"/>
      <c r="AI13" s="3060"/>
      <c r="AJ13" s="3060"/>
      <c r="AK13" s="3060"/>
      <c r="AL13" s="3060"/>
      <c r="AM13" s="3060"/>
      <c r="AN13" s="3060"/>
      <c r="AO13" s="3060"/>
      <c r="AP13" s="3060"/>
      <c r="AQ13" s="3060"/>
      <c r="AR13" s="3060"/>
      <c r="AS13" s="3060"/>
      <c r="AT13" s="3060"/>
      <c r="AU13" s="3060"/>
      <c r="AV13" s="3060"/>
      <c r="AW13" s="3060"/>
      <c r="AX13" s="3060"/>
      <c r="AY13" s="3060"/>
      <c r="AZ13" s="3060"/>
      <c r="BA13" s="3060"/>
      <c r="BB13" s="3060"/>
      <c r="BC13" s="3060"/>
      <c r="BD13" s="3060"/>
      <c r="BE13" s="3060"/>
      <c r="BF13" s="3060"/>
      <c r="BG13" s="3060"/>
      <c r="BH13" s="3060"/>
      <c r="BI13" s="3060"/>
      <c r="BJ13" s="3060"/>
      <c r="BK13" s="3060"/>
      <c r="BL13" s="3060"/>
      <c r="BM13" s="3060"/>
      <c r="BN13" s="3060"/>
      <c r="BO13" s="3060"/>
      <c r="BP13" s="3060"/>
      <c r="BQ13" s="3060"/>
      <c r="BR13" s="3060"/>
      <c r="BS13" s="3079"/>
      <c r="BT13" s="2962" t="s">
        <v>1271</v>
      </c>
      <c r="BU13" s="3014"/>
      <c r="BV13" s="2962" t="s">
        <v>1272</v>
      </c>
      <c r="BW13" s="3014"/>
      <c r="BX13" s="2962" t="s">
        <v>1273</v>
      </c>
      <c r="BY13" s="3014"/>
      <c r="BZ13" s="2962" t="s">
        <v>1274</v>
      </c>
      <c r="CA13" s="3014"/>
      <c r="CB13" s="2962" t="s">
        <v>1275</v>
      </c>
      <c r="CC13" s="3014"/>
      <c r="CD13" s="2962" t="s">
        <v>1276</v>
      </c>
      <c r="CE13" s="3014"/>
      <c r="CF13" s="2962" t="s">
        <v>1277</v>
      </c>
      <c r="CG13" s="3014"/>
      <c r="CH13" s="3012" t="s">
        <v>1278</v>
      </c>
      <c r="CI13" s="3013"/>
      <c r="CJ13" s="3013"/>
      <c r="CK13" s="3059"/>
      <c r="CL13" s="3062"/>
      <c r="CM13" s="3060"/>
      <c r="CN13" s="3060"/>
      <c r="CO13" s="3060"/>
      <c r="CP13" s="3060"/>
      <c r="CQ13" s="3060"/>
      <c r="CR13" s="3060"/>
      <c r="CS13" s="3060"/>
      <c r="CT13" s="3060"/>
      <c r="CU13" s="3060"/>
      <c r="CV13" s="3060"/>
      <c r="CW13" s="3060"/>
      <c r="CX13" s="3079"/>
      <c r="CY13" s="2962" t="s">
        <v>1279</v>
      </c>
      <c r="CZ13" s="3014"/>
      <c r="DA13" s="2962" t="s">
        <v>1280</v>
      </c>
      <c r="DB13" s="3014"/>
      <c r="DC13" s="2962" t="s">
        <v>1281</v>
      </c>
      <c r="DD13" s="3014"/>
      <c r="DE13" s="2962" t="s">
        <v>1282</v>
      </c>
      <c r="DF13" s="3014"/>
      <c r="DG13" s="3012" t="s">
        <v>1283</v>
      </c>
      <c r="DH13" s="3013"/>
      <c r="DI13" s="3013"/>
      <c r="DJ13" s="3059"/>
      <c r="DK13" s="3062"/>
      <c r="DL13" s="3060"/>
      <c r="DM13" s="3060"/>
      <c r="DN13" s="3060"/>
      <c r="DO13" s="3060"/>
      <c r="DP13" s="3060"/>
      <c r="DQ13" s="3060"/>
      <c r="DR13" s="3060"/>
      <c r="DS13" s="3060"/>
      <c r="DT13" s="3060"/>
      <c r="DU13" s="3060"/>
      <c r="DV13" s="3060"/>
      <c r="DW13" s="3060"/>
      <c r="DX13" s="3060"/>
      <c r="DY13" s="3060"/>
      <c r="DZ13" s="3060"/>
      <c r="EA13" s="3060"/>
      <c r="EB13" s="3060"/>
      <c r="EC13" s="3060"/>
      <c r="ED13" s="3060"/>
      <c r="EE13" s="3060"/>
      <c r="EF13" s="3060"/>
      <c r="EG13" s="3060"/>
      <c r="EH13" s="3060"/>
      <c r="EI13" s="3060"/>
      <c r="EJ13" s="3060"/>
      <c r="EK13" s="3060"/>
      <c r="EL13" s="3060"/>
      <c r="EM13" s="3060"/>
      <c r="EN13" s="3060"/>
      <c r="EO13" s="3060"/>
      <c r="EP13" s="3060"/>
      <c r="EQ13" s="3060"/>
      <c r="ER13" s="3060"/>
      <c r="ES13" s="3060"/>
      <c r="ET13" s="3060"/>
      <c r="EU13" s="3060"/>
      <c r="EV13" s="3060"/>
      <c r="EW13" s="3060"/>
      <c r="EX13" s="3060"/>
      <c r="EY13" s="3060"/>
      <c r="EZ13" s="3060"/>
      <c r="FA13" s="3060"/>
      <c r="FB13" s="3060"/>
      <c r="FC13" s="3060"/>
      <c r="FD13" s="3060"/>
      <c r="FE13" s="3060"/>
      <c r="FF13" s="3060"/>
      <c r="FG13" s="3060"/>
      <c r="FH13" s="3060"/>
      <c r="FI13" s="3060"/>
      <c r="FJ13" s="3060"/>
      <c r="FK13" s="3060"/>
      <c r="FL13" s="3060"/>
      <c r="FM13" s="3060"/>
      <c r="FN13" s="3060"/>
      <c r="FO13" s="3060"/>
      <c r="FP13" s="3060"/>
      <c r="FQ13" s="3060"/>
      <c r="FR13" s="3060"/>
      <c r="FS13" s="3060"/>
      <c r="FT13" s="3060"/>
      <c r="FU13" s="3060"/>
      <c r="FV13" s="3060"/>
      <c r="FW13" s="3074"/>
      <c r="FX13" s="1388"/>
      <c r="GC13" s="1552">
        <v>36</v>
      </c>
    </row>
    <row customHeight="1" ht="37.8">
      <c r="D14" s="1564"/>
      <c r="E14" s="1563"/>
      <c r="F14" s="2831"/>
      <c r="G14" s="2831"/>
      <c r="H14" s="3063"/>
      <c r="I14" s="3063"/>
      <c r="J14" s="3064"/>
      <c r="K14" s="3064"/>
      <c r="L14" s="3064"/>
      <c r="M14" s="3064"/>
      <c r="N14" s="3064"/>
      <c r="O14" s="2962" t="s">
        <v>1284</v>
      </c>
      <c r="P14" s="3014"/>
      <c r="Q14" s="2962" t="s">
        <v>1285</v>
      </c>
      <c r="R14" s="3014"/>
      <c r="S14" s="2963"/>
      <c r="T14" s="2839"/>
      <c r="U14" s="2962" t="s">
        <v>857</v>
      </c>
      <c r="V14" s="3014"/>
      <c r="W14" s="2962" t="s">
        <v>860</v>
      </c>
      <c r="X14" s="3014"/>
      <c r="Y14" s="2962" t="s">
        <v>857</v>
      </c>
      <c r="Z14" s="3014"/>
      <c r="AA14" s="2962" t="s">
        <v>867</v>
      </c>
      <c r="AB14" s="3014"/>
      <c r="AC14" s="3060"/>
      <c r="AD14" s="3060"/>
      <c r="AE14" s="3060"/>
      <c r="AF14" s="3060"/>
      <c r="AG14" s="3060"/>
      <c r="AH14" s="3060"/>
      <c r="AI14" s="3060"/>
      <c r="AJ14" s="3060"/>
      <c r="AK14" s="3060"/>
      <c r="AL14" s="3060"/>
      <c r="AM14" s="3060"/>
      <c r="AN14" s="3060"/>
      <c r="AO14" s="3060"/>
      <c r="AP14" s="3060"/>
      <c r="AQ14" s="3060"/>
      <c r="AR14" s="3060"/>
      <c r="AS14" s="3060"/>
      <c r="AT14" s="3060"/>
      <c r="AU14" s="3060"/>
      <c r="AV14" s="3060"/>
      <c r="AW14" s="3060"/>
      <c r="AX14" s="3060"/>
      <c r="AY14" s="3060"/>
      <c r="AZ14" s="3060"/>
      <c r="BA14" s="3060"/>
      <c r="BB14" s="3060"/>
      <c r="BC14" s="3060"/>
      <c r="BD14" s="3060"/>
      <c r="BE14" s="3060"/>
      <c r="BF14" s="3060"/>
      <c r="BG14" s="3060"/>
      <c r="BH14" s="3060"/>
      <c r="BI14" s="3060"/>
      <c r="BJ14" s="3060"/>
      <c r="BK14" s="3060"/>
      <c r="BL14" s="3060"/>
      <c r="BM14" s="3060"/>
      <c r="BN14" s="3060"/>
      <c r="BO14" s="3060"/>
      <c r="BP14" s="3060"/>
      <c r="BQ14" s="3060"/>
      <c r="BR14" s="3060"/>
      <c r="BS14" s="3079"/>
      <c r="BT14" s="2963"/>
      <c r="BU14" s="2839"/>
      <c r="BV14" s="2963"/>
      <c r="BW14" s="2839"/>
      <c r="BX14" s="2963"/>
      <c r="BY14" s="2839"/>
      <c r="BZ14" s="2963"/>
      <c r="CA14" s="2839"/>
      <c r="CB14" s="2963"/>
      <c r="CC14" s="2839"/>
      <c r="CD14" s="2963"/>
      <c r="CE14" s="2839"/>
      <c r="CF14" s="2963"/>
      <c r="CG14" s="2839"/>
      <c r="CH14" s="2962" t="s">
        <v>1286</v>
      </c>
      <c r="CI14" s="3014"/>
      <c r="CJ14" s="2962" t="s">
        <v>1287</v>
      </c>
      <c r="CK14" s="3014"/>
      <c r="CL14" s="3062"/>
      <c r="CM14" s="3060"/>
      <c r="CN14" s="3060"/>
      <c r="CO14" s="3060"/>
      <c r="CP14" s="3060"/>
      <c r="CQ14" s="3060"/>
      <c r="CR14" s="3060"/>
      <c r="CS14" s="3060"/>
      <c r="CT14" s="3060"/>
      <c r="CU14" s="3060"/>
      <c r="CV14" s="3060"/>
      <c r="CW14" s="3060"/>
      <c r="CX14" s="3079"/>
      <c r="CY14" s="2963"/>
      <c r="CZ14" s="2839"/>
      <c r="DA14" s="2963"/>
      <c r="DB14" s="2839"/>
      <c r="DC14" s="2963"/>
      <c r="DD14" s="2839"/>
      <c r="DE14" s="2963"/>
      <c r="DF14" s="2839"/>
      <c r="DG14" s="2962" t="s">
        <v>1288</v>
      </c>
      <c r="DH14" s="3014"/>
      <c r="DI14" s="2962" t="s">
        <v>1289</v>
      </c>
      <c r="DJ14" s="3014"/>
      <c r="DK14" s="3062"/>
      <c r="DL14" s="3060"/>
      <c r="DM14" s="3060"/>
      <c r="DN14" s="3060"/>
      <c r="DO14" s="3060"/>
      <c r="DP14" s="3060"/>
      <c r="DQ14" s="3060"/>
      <c r="DR14" s="3060"/>
      <c r="DS14" s="3060"/>
      <c r="DT14" s="3060"/>
      <c r="DU14" s="3060"/>
      <c r="DV14" s="3060"/>
      <c r="DW14" s="3060"/>
      <c r="DX14" s="3060"/>
      <c r="DY14" s="3060"/>
      <c r="DZ14" s="3060"/>
      <c r="EA14" s="3060"/>
      <c r="EB14" s="3060"/>
      <c r="EC14" s="3060"/>
      <c r="ED14" s="3060"/>
      <c r="EE14" s="3060"/>
      <c r="EF14" s="3060"/>
      <c r="EG14" s="3060"/>
      <c r="EH14" s="3060"/>
      <c r="EI14" s="3060"/>
      <c r="EJ14" s="3060"/>
      <c r="EK14" s="3060"/>
      <c r="EL14" s="3060"/>
      <c r="EM14" s="3060"/>
      <c r="EN14" s="3060"/>
      <c r="EO14" s="3060"/>
      <c r="EP14" s="3060"/>
      <c r="EQ14" s="3060"/>
      <c r="ER14" s="3060"/>
      <c r="ES14" s="3060"/>
      <c r="ET14" s="3060"/>
      <c r="EU14" s="3060"/>
      <c r="EV14" s="3060"/>
      <c r="EW14" s="3060"/>
      <c r="EX14" s="3060"/>
      <c r="EY14" s="3060"/>
      <c r="EZ14" s="3060"/>
      <c r="FA14" s="3060"/>
      <c r="FB14" s="3060"/>
      <c r="FC14" s="3060"/>
      <c r="FD14" s="3060"/>
      <c r="FE14" s="3060"/>
      <c r="FF14" s="3060"/>
      <c r="FG14" s="3060"/>
      <c r="FH14" s="3060"/>
      <c r="FI14" s="3060"/>
      <c r="FJ14" s="3060"/>
      <c r="FK14" s="3060"/>
      <c r="FL14" s="3060"/>
      <c r="FM14" s="3060"/>
      <c r="FN14" s="3060"/>
      <c r="FO14" s="3060"/>
      <c r="FP14" s="3060"/>
      <c r="FQ14" s="3060"/>
      <c r="FR14" s="3060"/>
      <c r="FS14" s="3060"/>
      <c r="FT14" s="3060"/>
      <c r="FU14" s="3060"/>
      <c r="FV14" s="3060"/>
      <c r="FW14" s="3074"/>
      <c r="FX14" s="1388"/>
      <c r="GC14" s="1552">
        <v>36</v>
      </c>
    </row>
    <row customHeight="1" ht="37.8">
      <c r="D15" s="1564"/>
      <c r="E15" s="1563"/>
      <c r="F15" s="2831"/>
      <c r="G15" s="2831"/>
      <c r="H15" s="3063"/>
      <c r="I15" s="3063"/>
      <c r="J15" s="3064"/>
      <c r="K15" s="3064"/>
      <c r="L15" s="3064"/>
      <c r="M15" s="3064"/>
      <c r="N15" s="3064"/>
      <c r="O15" s="2964"/>
      <c r="P15" s="3061"/>
      <c r="Q15" s="2964"/>
      <c r="R15" s="3061"/>
      <c r="S15" s="2964"/>
      <c r="T15" s="3061"/>
      <c r="U15" s="2964"/>
      <c r="V15" s="3061"/>
      <c r="W15" s="2964"/>
      <c r="X15" s="3061"/>
      <c r="Y15" s="2964"/>
      <c r="Z15" s="3061"/>
      <c r="AA15" s="2964"/>
      <c r="AB15" s="3061"/>
      <c r="AC15" s="3060"/>
      <c r="AD15" s="3060"/>
      <c r="AE15" s="3060"/>
      <c r="AF15" s="3060"/>
      <c r="AG15" s="3060"/>
      <c r="AH15" s="3060"/>
      <c r="AI15" s="3060"/>
      <c r="AJ15" s="3060"/>
      <c r="AK15" s="3060"/>
      <c r="AL15" s="3060"/>
      <c r="AM15" s="3060"/>
      <c r="AN15" s="3060"/>
      <c r="AO15" s="3060"/>
      <c r="AP15" s="3060"/>
      <c r="AQ15" s="3060"/>
      <c r="AR15" s="3060"/>
      <c r="AS15" s="3060"/>
      <c r="AT15" s="3060"/>
      <c r="AU15" s="3060"/>
      <c r="AV15" s="3060"/>
      <c r="AW15" s="3060"/>
      <c r="AX15" s="3060"/>
      <c r="AY15" s="3060"/>
      <c r="AZ15" s="3060"/>
      <c r="BA15" s="3060"/>
      <c r="BB15" s="3060"/>
      <c r="BC15" s="3060"/>
      <c r="BD15" s="3060"/>
      <c r="BE15" s="3060"/>
      <c r="BF15" s="3060"/>
      <c r="BG15" s="3060"/>
      <c r="BH15" s="3060"/>
      <c r="BI15" s="3060"/>
      <c r="BJ15" s="3060"/>
      <c r="BK15" s="3060"/>
      <c r="BL15" s="3060"/>
      <c r="BM15" s="3060"/>
      <c r="BN15" s="3060"/>
      <c r="BO15" s="3060"/>
      <c r="BP15" s="3060"/>
      <c r="BQ15" s="3060"/>
      <c r="BR15" s="3060"/>
      <c r="BS15" s="3079"/>
      <c r="BT15" s="2964"/>
      <c r="BU15" s="3061"/>
      <c r="BV15" s="2964"/>
      <c r="BW15" s="3061"/>
      <c r="BX15" s="2964"/>
      <c r="BY15" s="3061"/>
      <c r="BZ15" s="2964"/>
      <c r="CA15" s="3061"/>
      <c r="CB15" s="2964"/>
      <c r="CC15" s="3061"/>
      <c r="CD15" s="2964"/>
      <c r="CE15" s="3061"/>
      <c r="CF15" s="2964"/>
      <c r="CG15" s="3061"/>
      <c r="CH15" s="2964"/>
      <c r="CI15" s="3061"/>
      <c r="CJ15" s="2964"/>
      <c r="CK15" s="3061"/>
      <c r="CL15" s="3062"/>
      <c r="CM15" s="3060"/>
      <c r="CN15" s="3060"/>
      <c r="CO15" s="3060"/>
      <c r="CP15" s="3060"/>
      <c r="CQ15" s="3060"/>
      <c r="CR15" s="3060"/>
      <c r="CS15" s="3060"/>
      <c r="CT15" s="3060"/>
      <c r="CU15" s="3060"/>
      <c r="CV15" s="3060"/>
      <c r="CW15" s="3060"/>
      <c r="CX15" s="3079"/>
      <c r="CY15" s="2964"/>
      <c r="CZ15" s="3061"/>
      <c r="DA15" s="2964"/>
      <c r="DB15" s="3061"/>
      <c r="DC15" s="2964"/>
      <c r="DD15" s="3061"/>
      <c r="DE15" s="2964"/>
      <c r="DF15" s="3061"/>
      <c r="DG15" s="2964"/>
      <c r="DH15" s="3061"/>
      <c r="DI15" s="2964"/>
      <c r="DJ15" s="3061"/>
      <c r="DK15" s="3062"/>
      <c r="DL15" s="3060"/>
      <c r="DM15" s="3060"/>
      <c r="DN15" s="3060"/>
      <c r="DO15" s="3060"/>
      <c r="DP15" s="3060"/>
      <c r="DQ15" s="3060"/>
      <c r="DR15" s="3060"/>
      <c r="DS15" s="3060"/>
      <c r="DT15" s="3060"/>
      <c r="DU15" s="3060"/>
      <c r="DV15" s="3060"/>
      <c r="DW15" s="3060"/>
      <c r="DX15" s="3060"/>
      <c r="DY15" s="3060"/>
      <c r="DZ15" s="3060"/>
      <c r="EA15" s="3060"/>
      <c r="EB15" s="3060"/>
      <c r="EC15" s="3060"/>
      <c r="ED15" s="3060"/>
      <c r="EE15" s="3060"/>
      <c r="EF15" s="3060"/>
      <c r="EG15" s="3060"/>
      <c r="EH15" s="3060"/>
      <c r="EI15" s="3060"/>
      <c r="EJ15" s="3060"/>
      <c r="EK15" s="3060"/>
      <c r="EL15" s="3060"/>
      <c r="EM15" s="3060"/>
      <c r="EN15" s="3060"/>
      <c r="EO15" s="3060"/>
      <c r="EP15" s="3060"/>
      <c r="EQ15" s="3060"/>
      <c r="ER15" s="3060"/>
      <c r="ES15" s="3060"/>
      <c r="ET15" s="3060"/>
      <c r="EU15" s="3060"/>
      <c r="EV15" s="3060"/>
      <c r="EW15" s="3060"/>
      <c r="EX15" s="3060"/>
      <c r="EY15" s="3060"/>
      <c r="EZ15" s="3060"/>
      <c r="FA15" s="3060"/>
      <c r="FB15" s="3060"/>
      <c r="FC15" s="3060"/>
      <c r="FD15" s="3060"/>
      <c r="FE15" s="3060"/>
      <c r="FF15" s="3060"/>
      <c r="FG15" s="3060"/>
      <c r="FH15" s="3060"/>
      <c r="FI15" s="3060"/>
      <c r="FJ15" s="3060"/>
      <c r="FK15" s="3060"/>
      <c r="FL15" s="3060"/>
      <c r="FM15" s="3060"/>
      <c r="FN15" s="3060"/>
      <c r="FO15" s="3060"/>
      <c r="FP15" s="3060"/>
      <c r="FQ15" s="3060"/>
      <c r="FR15" s="3060"/>
      <c r="FS15" s="3060"/>
      <c r="FT15" s="3060"/>
      <c r="FU15" s="3060"/>
      <c r="FV15" s="3060"/>
      <c r="FW15" s="3074"/>
      <c r="FX15" s="1388"/>
      <c r="GC15" s="1552">
        <v>36</v>
      </c>
    </row>
    <row customHeight="1" ht="12.75">
      <c r="D16" s="1564"/>
      <c r="E16" s="1563"/>
      <c r="F16" s="2831"/>
      <c r="G16" s="2831"/>
      <c r="H16" s="3063"/>
      <c r="I16" s="3063"/>
      <c r="J16" s="3064"/>
      <c r="K16" s="3064"/>
      <c r="L16" s="3064"/>
      <c r="M16" s="3064"/>
      <c r="N16" s="3064"/>
      <c r="O16" s="3012" t="s">
        <v>847</v>
      </c>
      <c r="P16" s="3059"/>
      <c r="Q16" s="3012" t="s">
        <v>849</v>
      </c>
      <c r="R16" s="3059"/>
      <c r="S16" s="3012" t="s">
        <v>853</v>
      </c>
      <c r="T16" s="3059"/>
      <c r="U16" s="3012" t="s">
        <v>858</v>
      </c>
      <c r="V16" s="3059"/>
      <c r="W16" s="3012" t="s">
        <v>861</v>
      </c>
      <c r="X16" s="3059"/>
      <c r="Y16" s="3012" t="s">
        <v>865</v>
      </c>
      <c r="Z16" s="3059"/>
      <c r="AA16" s="3012" t="s">
        <v>868</v>
      </c>
      <c r="AB16" s="3059"/>
      <c r="AC16" s="3060"/>
      <c r="AD16" s="3060"/>
      <c r="AE16" s="3060"/>
      <c r="AF16" s="3060"/>
      <c r="AG16" s="3060"/>
      <c r="AH16" s="3060"/>
      <c r="AI16" s="3060"/>
      <c r="AJ16" s="3060"/>
      <c r="AK16" s="3060"/>
      <c r="AL16" s="3060"/>
      <c r="AM16" s="3060"/>
      <c r="AN16" s="3060"/>
      <c r="AO16" s="3060"/>
      <c r="AP16" s="3060"/>
      <c r="AQ16" s="3060"/>
      <c r="AR16" s="3060"/>
      <c r="AS16" s="3060"/>
      <c r="AT16" s="3060"/>
      <c r="AU16" s="3060"/>
      <c r="AV16" s="3060"/>
      <c r="AW16" s="3060"/>
      <c r="AX16" s="3060"/>
      <c r="AY16" s="3060"/>
      <c r="AZ16" s="3060"/>
      <c r="BA16" s="3060"/>
      <c r="BB16" s="3060"/>
      <c r="BC16" s="3060"/>
      <c r="BD16" s="3060"/>
      <c r="BE16" s="3060"/>
      <c r="BF16" s="3060"/>
      <c r="BG16" s="3060"/>
      <c r="BH16" s="3060"/>
      <c r="BI16" s="3060"/>
      <c r="BJ16" s="3060"/>
      <c r="BK16" s="3060"/>
      <c r="BL16" s="3060"/>
      <c r="BM16" s="3060"/>
      <c r="BN16" s="3060"/>
      <c r="BO16" s="3060"/>
      <c r="BP16" s="3060"/>
      <c r="BQ16" s="3060"/>
      <c r="BR16" s="3060"/>
      <c r="BS16" s="3079"/>
      <c r="BT16" s="3012" t="s">
        <v>576</v>
      </c>
      <c r="BU16" s="3059"/>
      <c r="BV16" s="3012" t="s">
        <v>576</v>
      </c>
      <c r="BW16" s="3059"/>
      <c r="BX16" s="3012" t="s">
        <v>576</v>
      </c>
      <c r="BY16" s="3059"/>
      <c r="BZ16" s="3012" t="s">
        <v>576</v>
      </c>
      <c r="CA16" s="3059"/>
      <c r="CB16" s="3012" t="s">
        <v>1290</v>
      </c>
      <c r="CC16" s="3059"/>
      <c r="CD16" s="3012" t="s">
        <v>576</v>
      </c>
      <c r="CE16" s="3059"/>
      <c r="CF16" s="3012" t="s">
        <v>1291</v>
      </c>
      <c r="CG16" s="3059"/>
      <c r="CH16" s="3012" t="s">
        <v>1292</v>
      </c>
      <c r="CI16" s="3059"/>
      <c r="CJ16" s="3012" t="s">
        <v>1292</v>
      </c>
      <c r="CK16" s="3059"/>
      <c r="CL16" s="3062"/>
      <c r="CM16" s="3060"/>
      <c r="CN16" s="3060"/>
      <c r="CO16" s="3060"/>
      <c r="CP16" s="3060"/>
      <c r="CQ16" s="3060"/>
      <c r="CR16" s="3060"/>
      <c r="CS16" s="3060"/>
      <c r="CT16" s="3060"/>
      <c r="CU16" s="3060"/>
      <c r="CV16" s="3060"/>
      <c r="CW16" s="3060"/>
      <c r="CX16" s="3079"/>
      <c r="CY16" s="2962" t="s">
        <v>576</v>
      </c>
      <c r="CZ16" s="3014"/>
      <c r="DA16" s="2962" t="s">
        <v>576</v>
      </c>
      <c r="DB16" s="3014"/>
      <c r="DC16" s="2962" t="s">
        <v>576</v>
      </c>
      <c r="DD16" s="3014"/>
      <c r="DE16" s="3012" t="s">
        <v>1290</v>
      </c>
      <c r="DF16" s="3059"/>
      <c r="DG16" s="3012" t="s">
        <v>1293</v>
      </c>
      <c r="DH16" s="3059"/>
      <c r="DI16" s="3012" t="s">
        <v>1293</v>
      </c>
      <c r="DJ16" s="3059"/>
      <c r="DK16" s="3062"/>
      <c r="DL16" s="3060"/>
      <c r="DM16" s="3060"/>
      <c r="DN16" s="3060"/>
      <c r="DO16" s="3060"/>
      <c r="DP16" s="3060"/>
      <c r="DQ16" s="3060"/>
      <c r="DR16" s="3060"/>
      <c r="DS16" s="3060"/>
      <c r="DT16" s="3060"/>
      <c r="DU16" s="3060"/>
      <c r="DV16" s="3060"/>
      <c r="DW16" s="3060"/>
      <c r="DX16" s="3060"/>
      <c r="DY16" s="3060"/>
      <c r="DZ16" s="3060"/>
      <c r="EA16" s="3060"/>
      <c r="EB16" s="3060"/>
      <c r="EC16" s="3060"/>
      <c r="ED16" s="3060"/>
      <c r="EE16" s="3060"/>
      <c r="EF16" s="3060"/>
      <c r="EG16" s="3060"/>
      <c r="EH16" s="3060"/>
      <c r="EI16" s="3060"/>
      <c r="EJ16" s="3060"/>
      <c r="EK16" s="3060"/>
      <c r="EL16" s="3060"/>
      <c r="EM16" s="3060"/>
      <c r="EN16" s="3060"/>
      <c r="EO16" s="3060"/>
      <c r="EP16" s="3060"/>
      <c r="EQ16" s="3060"/>
      <c r="ER16" s="3060"/>
      <c r="ES16" s="3060"/>
      <c r="ET16" s="3060"/>
      <c r="EU16" s="3060"/>
      <c r="EV16" s="3060"/>
      <c r="EW16" s="3060"/>
      <c r="EX16" s="3060"/>
      <c r="EY16" s="3060"/>
      <c r="EZ16" s="3060"/>
      <c r="FA16" s="3060"/>
      <c r="FB16" s="3060"/>
      <c r="FC16" s="3060"/>
      <c r="FD16" s="3060"/>
      <c r="FE16" s="3060"/>
      <c r="FF16" s="3060"/>
      <c r="FG16" s="3060"/>
      <c r="FH16" s="3060"/>
      <c r="FI16" s="3060"/>
      <c r="FJ16" s="3060"/>
      <c r="FK16" s="3060"/>
      <c r="FL16" s="3060"/>
      <c r="FM16" s="3060"/>
      <c r="FN16" s="3060"/>
      <c r="FO16" s="3060"/>
      <c r="FP16" s="3060"/>
      <c r="FQ16" s="3060"/>
      <c r="FR16" s="3060"/>
      <c r="FS16" s="3060"/>
      <c r="FT16" s="3060"/>
      <c r="FU16" s="3060"/>
      <c r="FV16" s="3060"/>
      <c r="FW16" s="3074"/>
      <c r="FX16" s="1388"/>
      <c r="GC16" s="1552">
        <v>12</v>
      </c>
    </row>
    <row customHeight="1" ht="15.75">
      <c r="E17" s="1563"/>
      <c r="F17" s="2831"/>
      <c r="G17" s="2831"/>
      <c r="H17" s="3063"/>
      <c r="I17" s="3063"/>
      <c r="J17" s="3064"/>
      <c r="K17" s="3064"/>
      <c r="L17" s="3064"/>
      <c r="M17" s="3064"/>
      <c r="N17" s="3064"/>
      <c r="O17" s="1817" t="s">
        <v>1294</v>
      </c>
      <c r="P17" s="1817" t="s">
        <v>1295</v>
      </c>
      <c r="Q17" s="1817" t="s">
        <v>1294</v>
      </c>
      <c r="R17" s="1817" t="s">
        <v>1295</v>
      </c>
      <c r="S17" s="1817" t="s">
        <v>1294</v>
      </c>
      <c r="T17" s="1817" t="s">
        <v>1295</v>
      </c>
      <c r="U17" s="1817" t="s">
        <v>1294</v>
      </c>
      <c r="V17" s="1817" t="s">
        <v>1295</v>
      </c>
      <c r="W17" s="1817" t="s">
        <v>1294</v>
      </c>
      <c r="X17" s="1817" t="s">
        <v>1295</v>
      </c>
      <c r="Y17" s="1817" t="s">
        <v>1294</v>
      </c>
      <c r="Z17" s="1817" t="s">
        <v>1295</v>
      </c>
      <c r="AA17" s="1817" t="s">
        <v>1294</v>
      </c>
      <c r="AB17" s="1817" t="s">
        <v>1295</v>
      </c>
      <c r="AC17" s="3060"/>
      <c r="AD17" s="3060"/>
      <c r="AE17" s="3060"/>
      <c r="AF17" s="3060"/>
      <c r="AG17" s="3060"/>
      <c r="AH17" s="3060"/>
      <c r="AI17" s="3060"/>
      <c r="AJ17" s="3060"/>
      <c r="AK17" s="3060"/>
      <c r="AL17" s="3060"/>
      <c r="AM17" s="3060"/>
      <c r="AN17" s="3060"/>
      <c r="AO17" s="3060"/>
      <c r="AP17" s="3060"/>
      <c r="AQ17" s="3060"/>
      <c r="AR17" s="3060"/>
      <c r="AS17" s="3060"/>
      <c r="AT17" s="3060"/>
      <c r="AU17" s="3060"/>
      <c r="AV17" s="3060"/>
      <c r="AW17" s="3060"/>
      <c r="AX17" s="3060"/>
      <c r="AY17" s="3060"/>
      <c r="AZ17" s="3060"/>
      <c r="BA17" s="3060"/>
      <c r="BB17" s="3060"/>
      <c r="BC17" s="3060"/>
      <c r="BD17" s="3060"/>
      <c r="BE17" s="3060"/>
      <c r="BF17" s="3060"/>
      <c r="BG17" s="3060"/>
      <c r="BH17" s="3060"/>
      <c r="BI17" s="3060"/>
      <c r="BJ17" s="3060"/>
      <c r="BK17" s="3060"/>
      <c r="BL17" s="3060"/>
      <c r="BM17" s="3060"/>
      <c r="BN17" s="3060"/>
      <c r="BO17" s="3060"/>
      <c r="BP17" s="3060"/>
      <c r="BQ17" s="3060"/>
      <c r="BR17" s="3060"/>
      <c r="BS17" s="3079"/>
      <c r="BT17" s="1817" t="s">
        <v>1294</v>
      </c>
      <c r="BU17" s="1817" t="s">
        <v>1295</v>
      </c>
      <c r="BV17" s="1817" t="s">
        <v>1294</v>
      </c>
      <c r="BW17" s="1817" t="s">
        <v>1295</v>
      </c>
      <c r="BX17" s="1817" t="s">
        <v>1294</v>
      </c>
      <c r="BY17" s="1817" t="s">
        <v>1295</v>
      </c>
      <c r="BZ17" s="1817" t="s">
        <v>1294</v>
      </c>
      <c r="CA17" s="1817" t="s">
        <v>1295</v>
      </c>
      <c r="CB17" s="1817" t="s">
        <v>1294</v>
      </c>
      <c r="CC17" s="1817" t="s">
        <v>1295</v>
      </c>
      <c r="CD17" s="1817" t="s">
        <v>1294</v>
      </c>
      <c r="CE17" s="1817" t="s">
        <v>1295</v>
      </c>
      <c r="CF17" s="1817" t="s">
        <v>1294</v>
      </c>
      <c r="CG17" s="1817" t="s">
        <v>1295</v>
      </c>
      <c r="CH17" s="1817" t="s">
        <v>1294</v>
      </c>
      <c r="CI17" s="1817" t="s">
        <v>1295</v>
      </c>
      <c r="CJ17" s="1817" t="s">
        <v>1294</v>
      </c>
      <c r="CK17" s="1817" t="s">
        <v>1295</v>
      </c>
      <c r="CL17" s="3062"/>
      <c r="CM17" s="3060"/>
      <c r="CN17" s="3060"/>
      <c r="CO17" s="3060"/>
      <c r="CP17" s="3060"/>
      <c r="CQ17" s="3060"/>
      <c r="CR17" s="3060"/>
      <c r="CS17" s="3060"/>
      <c r="CT17" s="3060"/>
      <c r="CU17" s="3060"/>
      <c r="CV17" s="3060"/>
      <c r="CW17" s="3060"/>
      <c r="CX17" s="3079"/>
      <c r="CY17" s="1817" t="s">
        <v>1294</v>
      </c>
      <c r="CZ17" s="1817" t="s">
        <v>1295</v>
      </c>
      <c r="DA17" s="1817" t="s">
        <v>1294</v>
      </c>
      <c r="DB17" s="1817" t="s">
        <v>1295</v>
      </c>
      <c r="DC17" s="1817" t="s">
        <v>1294</v>
      </c>
      <c r="DD17" s="1817" t="s">
        <v>1295</v>
      </c>
      <c r="DE17" s="1817" t="s">
        <v>1294</v>
      </c>
      <c r="DF17" s="1817" t="s">
        <v>1295</v>
      </c>
      <c r="DG17" s="1817" t="s">
        <v>1294</v>
      </c>
      <c r="DH17" s="1817" t="s">
        <v>1295</v>
      </c>
      <c r="DI17" s="1817" t="s">
        <v>1294</v>
      </c>
      <c r="DJ17" s="1817" t="s">
        <v>1295</v>
      </c>
      <c r="DK17" s="3062"/>
      <c r="DL17" s="3060"/>
      <c r="DM17" s="3060"/>
      <c r="DN17" s="3060"/>
      <c r="DO17" s="3060"/>
      <c r="DP17" s="3060"/>
      <c r="DQ17" s="3060"/>
      <c r="DR17" s="3060"/>
      <c r="DS17" s="3060"/>
      <c r="DT17" s="3060"/>
      <c r="DU17" s="3060"/>
      <c r="DV17" s="3060"/>
      <c r="DW17" s="3060"/>
      <c r="DX17" s="3060"/>
      <c r="DY17" s="3060"/>
      <c r="DZ17" s="3060"/>
      <c r="EA17" s="3060"/>
      <c r="EB17" s="3060"/>
      <c r="EC17" s="3060"/>
      <c r="ED17" s="3060"/>
      <c r="EE17" s="3060"/>
      <c r="EF17" s="3060"/>
      <c r="EG17" s="3060"/>
      <c r="EH17" s="3060"/>
      <c r="EI17" s="3060"/>
      <c r="EJ17" s="3060"/>
      <c r="EK17" s="3060"/>
      <c r="EL17" s="3060"/>
      <c r="EM17" s="3060"/>
      <c r="EN17" s="3060"/>
      <c r="EO17" s="3060"/>
      <c r="EP17" s="3060"/>
      <c r="EQ17" s="3060"/>
      <c r="ER17" s="3060"/>
      <c r="ES17" s="3060"/>
      <c r="ET17" s="3060"/>
      <c r="EU17" s="3060"/>
      <c r="EV17" s="3060"/>
      <c r="EW17" s="3060"/>
      <c r="EX17" s="3060"/>
      <c r="EY17" s="3060"/>
      <c r="EZ17" s="3060"/>
      <c r="FA17" s="3060"/>
      <c r="FB17" s="3060"/>
      <c r="FC17" s="3060"/>
      <c r="FD17" s="3060"/>
      <c r="FE17" s="3060"/>
      <c r="FF17" s="3060"/>
      <c r="FG17" s="3060"/>
      <c r="FH17" s="3060"/>
      <c r="FI17" s="3060"/>
      <c r="FJ17" s="3060"/>
      <c r="FK17" s="3060"/>
      <c r="FL17" s="3060"/>
      <c r="FM17" s="3060"/>
      <c r="FN17" s="3060"/>
      <c r="FO17" s="3060"/>
      <c r="FP17" s="3060"/>
      <c r="FQ17" s="3060"/>
      <c r="FR17" s="3060"/>
      <c r="FS17" s="3060"/>
      <c r="FT17" s="3060"/>
      <c r="FU17" s="3060"/>
      <c r="FV17" s="3060"/>
      <c r="FW17" s="3075"/>
      <c r="FX17" s="1388"/>
      <c r="GC17" s="1552">
        <v>15</v>
      </c>
    </row>
    <row s="36917" customFormat="1" customHeight="1" ht="12" hidden="1">
      <c r="B18" s="1549"/>
      <c r="E18" s="1565"/>
      <c r="F18" s="1818"/>
      <c r="G18" s="1818"/>
      <c r="H18" s="1818"/>
      <c r="I18" s="1818"/>
      <c r="J18" s="1819"/>
      <c r="K18" s="1819"/>
      <c r="L18" s="1819"/>
      <c r="M18" s="1819"/>
      <c r="N18" s="1819"/>
      <c r="O18" s="1818"/>
      <c r="P18" s="1818"/>
      <c r="Q18" s="1818"/>
      <c r="R18" s="1818"/>
      <c r="S18" s="1818"/>
      <c r="T18" s="1818"/>
      <c r="U18" s="1820"/>
      <c r="V18" s="1820"/>
      <c r="W18" s="1820"/>
      <c r="X18" s="1820"/>
      <c r="Y18" s="1820"/>
      <c r="Z18" s="1820"/>
      <c r="AA18" s="1820"/>
      <c r="AB18" s="1818"/>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c r="BG18" s="1819"/>
      <c r="BH18" s="1819"/>
      <c r="BI18" s="1819"/>
      <c r="BJ18" s="1819"/>
      <c r="BK18" s="1819"/>
      <c r="BL18" s="1819"/>
      <c r="BM18" s="1819"/>
      <c r="BN18" s="1819"/>
      <c r="BO18" s="1819"/>
      <c r="BP18" s="1819"/>
      <c r="BQ18" s="1819"/>
      <c r="BR18" s="1819"/>
      <c r="BS18" s="1819"/>
      <c r="BT18" s="1821"/>
      <c r="BU18" s="1821"/>
      <c r="BV18" s="1821"/>
      <c r="BW18" s="1821"/>
      <c r="BX18" s="1821"/>
      <c r="BY18" s="1821"/>
      <c r="BZ18" s="1821"/>
      <c r="CA18" s="1821"/>
      <c r="CB18" s="1821"/>
      <c r="CC18" s="1821"/>
      <c r="CD18" s="1821"/>
      <c r="CE18" s="1821"/>
      <c r="CF18" s="1821"/>
      <c r="CG18" s="1821"/>
      <c r="CH18" s="1821"/>
      <c r="CI18" s="1821"/>
      <c r="CJ18" s="1821"/>
      <c r="CK18" s="1821"/>
      <c r="CL18" s="1819"/>
      <c r="CM18" s="1819"/>
      <c r="CN18" s="1819"/>
      <c r="CO18" s="1819"/>
      <c r="CP18" s="1819"/>
      <c r="CQ18" s="1819"/>
      <c r="CR18" s="1819"/>
      <c r="CS18" s="1819"/>
      <c r="CT18" s="1819"/>
      <c r="CU18" s="1819"/>
      <c r="CV18" s="1819"/>
      <c r="CW18" s="1819"/>
      <c r="CX18" s="1819"/>
      <c r="CY18" s="1821"/>
      <c r="CZ18" s="1821"/>
      <c r="DA18" s="1821"/>
      <c r="DB18" s="1821"/>
      <c r="DC18" s="1821"/>
      <c r="DD18" s="1821"/>
      <c r="DE18" s="1821"/>
      <c r="DF18" s="1821"/>
      <c r="DG18" s="1821"/>
      <c r="DH18" s="1821"/>
      <c r="DI18" s="1821"/>
      <c r="DJ18" s="1821"/>
      <c r="DK18" s="1819"/>
      <c r="DL18" s="1819"/>
      <c r="DM18" s="1819"/>
      <c r="DN18" s="1819"/>
      <c r="DO18" s="1819"/>
      <c r="DP18" s="1819"/>
      <c r="DQ18" s="1819"/>
      <c r="DR18" s="1819"/>
      <c r="DS18" s="1819"/>
      <c r="DT18" s="1819"/>
      <c r="DU18" s="1819"/>
      <c r="DV18" s="1819"/>
      <c r="DW18" s="1819"/>
      <c r="DX18" s="1819"/>
      <c r="DY18" s="1819"/>
      <c r="DZ18" s="1819"/>
      <c r="EA18" s="1819"/>
      <c r="EB18" s="1819"/>
      <c r="EC18" s="1819"/>
      <c r="ED18" s="1819"/>
      <c r="EE18" s="1819"/>
      <c r="EF18" s="1819"/>
      <c r="EG18" s="1819"/>
      <c r="EH18" s="1819"/>
      <c r="EI18" s="1819"/>
      <c r="EJ18" s="1819"/>
      <c r="EK18" s="1819"/>
      <c r="EL18" s="1819"/>
      <c r="EM18" s="1819"/>
      <c r="EN18" s="1819"/>
      <c r="EO18" s="1819"/>
      <c r="EP18" s="1819"/>
      <c r="EQ18" s="1819"/>
      <c r="ER18" s="1819"/>
      <c r="ES18" s="1819"/>
      <c r="ET18" s="1819"/>
      <c r="EU18" s="1819"/>
      <c r="EV18" s="1819"/>
      <c r="EW18" s="1819"/>
      <c r="EX18" s="1819"/>
      <c r="EY18" s="1819"/>
      <c r="EZ18" s="1819"/>
      <c r="FA18" s="1819"/>
      <c r="FB18" s="1819"/>
      <c r="FC18" s="1819"/>
      <c r="FD18" s="1819"/>
      <c r="FE18" s="1819"/>
      <c r="FF18" s="1819"/>
      <c r="FG18" s="1819"/>
      <c r="FH18" s="1819"/>
      <c r="FI18" s="1819"/>
      <c r="FJ18" s="1819"/>
      <c r="FK18" s="1819"/>
      <c r="FL18" s="1819"/>
      <c r="FM18" s="1819"/>
      <c r="FN18" s="1819"/>
      <c r="FO18" s="1819"/>
      <c r="FP18" s="1819"/>
      <c r="FQ18" s="1819"/>
      <c r="FR18" s="1819"/>
      <c r="FS18" s="1819"/>
      <c r="FT18" s="1819"/>
      <c r="FU18" s="1819"/>
      <c r="FV18" s="1819"/>
      <c r="FW18" s="1818"/>
      <c r="FX18" s="1822"/>
      <c r="GC18" s="1550">
        <v>0</v>
      </c>
    </row>
    <row s="36917" customFormat="1" customHeight="1" ht="11.25" hidden="1">
      <c r="B19" s="1549"/>
      <c r="E19" s="1565"/>
      <c r="F19" s="1818"/>
      <c r="G19" s="1818"/>
      <c r="H19" s="1818"/>
      <c r="I19" s="1818"/>
      <c r="J19" s="1818"/>
      <c r="K19" s="1818"/>
      <c r="L19" s="1818"/>
      <c r="M19" s="1818"/>
      <c r="N19" s="1818"/>
      <c r="O19" s="1818"/>
      <c r="P19" s="1818"/>
      <c r="Q19" s="1818"/>
      <c r="R19" s="1818"/>
      <c r="S19" s="1818"/>
      <c r="T19" s="1818"/>
      <c r="U19" s="1820"/>
      <c r="V19" s="1820"/>
      <c r="W19" s="1820"/>
      <c r="X19" s="1820"/>
      <c r="Y19" s="1820"/>
      <c r="Z19" s="1820"/>
      <c r="AA19" s="1820"/>
      <c r="AB19" s="1818"/>
      <c r="AC19" s="1818"/>
      <c r="AD19" s="1818"/>
      <c r="AE19" s="1818"/>
      <c r="AF19" s="1818"/>
      <c r="AG19" s="1818"/>
      <c r="AH19" s="1818"/>
      <c r="AI19" s="1818"/>
      <c r="AJ19" s="1818"/>
      <c r="AK19" s="1818"/>
      <c r="AL19" s="1818"/>
      <c r="AM19" s="1818"/>
      <c r="AN19" s="1818"/>
      <c r="AO19" s="1818"/>
      <c r="AP19" s="1818"/>
      <c r="AQ19" s="1818"/>
      <c r="AR19" s="1818"/>
      <c r="AS19" s="1818"/>
      <c r="AT19" s="1818"/>
      <c r="AU19" s="1818"/>
      <c r="AV19" s="1818"/>
      <c r="AW19" s="1818"/>
      <c r="AX19" s="1818"/>
      <c r="AY19" s="1818"/>
      <c r="AZ19" s="1818"/>
      <c r="BA19" s="1818"/>
      <c r="BB19" s="1818"/>
      <c r="BC19" s="1818"/>
      <c r="BD19" s="1818"/>
      <c r="BE19" s="1818"/>
      <c r="BF19" s="1818"/>
      <c r="BG19" s="1818"/>
      <c r="BH19" s="1818"/>
      <c r="BI19" s="1818"/>
      <c r="BJ19" s="1818"/>
      <c r="BK19" s="1818"/>
      <c r="BL19" s="1818"/>
      <c r="BM19" s="1818"/>
      <c r="BN19" s="1818"/>
      <c r="BO19" s="1818"/>
      <c r="BP19" s="1818"/>
      <c r="BQ19" s="1818"/>
      <c r="BR19" s="1818"/>
      <c r="BS19" s="1818"/>
      <c r="BT19" s="1818"/>
      <c r="BU19" s="1818"/>
      <c r="BV19" s="1818"/>
      <c r="BW19" s="1818"/>
      <c r="BX19" s="1818"/>
      <c r="BY19" s="1818"/>
      <c r="BZ19" s="1818"/>
      <c r="CA19" s="1818"/>
      <c r="CB19" s="1818"/>
      <c r="CC19" s="1818"/>
      <c r="CD19" s="1818"/>
      <c r="CE19" s="1818"/>
      <c r="CF19" s="1818"/>
      <c r="CG19" s="1818"/>
      <c r="CH19" s="1818"/>
      <c r="CI19" s="1818"/>
      <c r="CJ19" s="1818"/>
      <c r="CK19" s="1818"/>
      <c r="CL19" s="1818"/>
      <c r="CM19" s="1818"/>
      <c r="CN19" s="1818"/>
      <c r="CO19" s="1818"/>
      <c r="CP19" s="1818"/>
      <c r="CQ19" s="1818"/>
      <c r="CR19" s="1818"/>
      <c r="CS19" s="1818"/>
      <c r="CT19" s="1818"/>
      <c r="CU19" s="1818"/>
      <c r="CV19" s="1818"/>
      <c r="CW19" s="1818"/>
      <c r="CX19" s="1818"/>
      <c r="CY19" s="1818"/>
      <c r="CZ19" s="1818"/>
      <c r="DA19" s="1818"/>
      <c r="DB19" s="1818"/>
      <c r="DC19" s="1818"/>
      <c r="DD19" s="1818"/>
      <c r="DE19" s="1818"/>
      <c r="DF19" s="1818"/>
      <c r="DG19" s="1818"/>
      <c r="DH19" s="1818"/>
      <c r="DI19" s="1818"/>
      <c r="DJ19" s="1818"/>
      <c r="DK19" s="1818"/>
      <c r="DL19" s="1818"/>
      <c r="DM19" s="1818"/>
      <c r="DN19" s="1818"/>
      <c r="DO19" s="1818"/>
      <c r="DP19" s="1818"/>
      <c r="DQ19" s="1818"/>
      <c r="DR19" s="1818"/>
      <c r="DS19" s="1818"/>
      <c r="DT19" s="1818"/>
      <c r="DU19" s="1818"/>
      <c r="DV19" s="1818"/>
      <c r="DW19" s="1818"/>
      <c r="DX19" s="1818"/>
      <c r="DY19" s="1818"/>
      <c r="DZ19" s="1818"/>
      <c r="EA19" s="1818"/>
      <c r="EB19" s="1818"/>
      <c r="EC19" s="1818"/>
      <c r="ED19" s="1818"/>
      <c r="EE19" s="1818"/>
      <c r="EF19" s="1818"/>
      <c r="EG19" s="1818"/>
      <c r="EH19" s="1818"/>
      <c r="EI19" s="1818"/>
      <c r="EJ19" s="1818"/>
      <c r="EK19" s="1818"/>
      <c r="EL19" s="1818"/>
      <c r="EM19" s="1818"/>
      <c r="EN19" s="1818"/>
      <c r="EO19" s="1818"/>
      <c r="EP19" s="1818"/>
      <c r="EQ19" s="1818"/>
      <c r="ER19" s="1818"/>
      <c r="ES19" s="1818"/>
      <c r="ET19" s="1818"/>
      <c r="EU19" s="1818"/>
      <c r="EV19" s="1818"/>
      <c r="EW19" s="1818"/>
      <c r="EX19" s="1818"/>
      <c r="EY19" s="1818"/>
      <c r="EZ19" s="1818"/>
      <c r="FA19" s="1818"/>
      <c r="FB19" s="1818"/>
      <c r="FC19" s="1818"/>
      <c r="FD19" s="1818"/>
      <c r="FE19" s="1818"/>
      <c r="FF19" s="1818"/>
      <c r="FG19" s="1818"/>
      <c r="FH19" s="1818"/>
      <c r="FI19" s="1818"/>
      <c r="FJ19" s="1818"/>
      <c r="FK19" s="1818"/>
      <c r="FL19" s="1818"/>
      <c r="FM19" s="1818"/>
      <c r="FN19" s="1818"/>
      <c r="FO19" s="1818"/>
      <c r="FP19" s="1818"/>
      <c r="FQ19" s="1818"/>
      <c r="FR19" s="1818"/>
      <c r="FS19" s="1818"/>
      <c r="FT19" s="1818"/>
      <c r="FU19" s="1818"/>
      <c r="FV19" s="1818"/>
      <c r="FW19" s="1818"/>
      <c r="FX19" s="1822"/>
      <c r="GC19" s="1550">
        <v>0</v>
      </c>
    </row>
    <row s="36917" customFormat="1" customHeight="1" ht="11.25" hidden="1">
      <c r="B20" s="1566"/>
      <c r="D20" s="1550"/>
      <c r="E20" s="1565"/>
      <c r="F20" s="1823" t="s">
        <v>394</v>
      </c>
      <c r="G20" s="1824"/>
      <c r="H20" s="1825"/>
      <c r="I20" s="1825"/>
      <c r="J20" s="1825"/>
      <c r="K20" s="1825"/>
      <c r="L20" s="1825"/>
      <c r="M20" s="1825"/>
      <c r="N20" s="1825"/>
      <c r="O20" s="1824"/>
      <c r="P20" s="1824"/>
      <c r="Q20" s="1824"/>
      <c r="R20" s="1824"/>
      <c r="S20" s="1824"/>
      <c r="T20" s="1824"/>
      <c r="U20" s="1826"/>
      <c r="V20" s="1826"/>
      <c r="W20" s="1826"/>
      <c r="X20" s="1826"/>
      <c r="Y20" s="1826"/>
      <c r="Z20" s="1826"/>
      <c r="AA20" s="1826"/>
      <c r="AB20" s="1824"/>
      <c r="AC20" s="1825"/>
      <c r="AD20" s="1825"/>
      <c r="AE20" s="1825"/>
      <c r="AF20" s="1825"/>
      <c r="AG20" s="1825"/>
      <c r="AH20" s="1825"/>
      <c r="AI20" s="1825"/>
      <c r="AJ20" s="1825"/>
      <c r="AK20" s="1825"/>
      <c r="AL20" s="1825"/>
      <c r="AM20" s="1825"/>
      <c r="AN20" s="1825"/>
      <c r="AO20" s="1825"/>
      <c r="AP20" s="1825"/>
      <c r="AQ20" s="1825"/>
      <c r="AR20" s="1825"/>
      <c r="AS20" s="1825"/>
      <c r="AT20" s="1825"/>
      <c r="AU20" s="1825"/>
      <c r="AV20" s="1825"/>
      <c r="AW20" s="1825"/>
      <c r="AX20" s="1825"/>
      <c r="AY20" s="1825"/>
      <c r="AZ20" s="1825"/>
      <c r="BA20" s="1825"/>
      <c r="BB20" s="1825"/>
      <c r="BC20" s="1825"/>
      <c r="BD20" s="1825"/>
      <c r="BE20" s="1825"/>
      <c r="BF20" s="1825"/>
      <c r="BG20" s="1825"/>
      <c r="BH20" s="1825"/>
      <c r="BI20" s="1825"/>
      <c r="BJ20" s="1825"/>
      <c r="BK20" s="1825"/>
      <c r="BL20" s="1825"/>
      <c r="BM20" s="1825"/>
      <c r="BN20" s="1825"/>
      <c r="BO20" s="1825"/>
      <c r="BP20" s="1825"/>
      <c r="BQ20" s="1825"/>
      <c r="BR20" s="1825"/>
      <c r="BS20" s="1825"/>
      <c r="BT20" s="1825"/>
      <c r="BU20" s="1825"/>
      <c r="BV20" s="1825"/>
      <c r="BW20" s="1825"/>
      <c r="BX20" s="1825"/>
      <c r="BY20" s="1825"/>
      <c r="BZ20" s="1825"/>
      <c r="CA20" s="1825"/>
      <c r="CB20" s="1825"/>
      <c r="CC20" s="1825"/>
      <c r="CD20" s="1825"/>
      <c r="CE20" s="1825"/>
      <c r="CF20" s="1825"/>
      <c r="CG20" s="1825"/>
      <c r="CH20" s="1825"/>
      <c r="CI20" s="1825"/>
      <c r="CJ20" s="1825"/>
      <c r="CK20" s="1825"/>
      <c r="CL20" s="1827"/>
      <c r="CM20" s="1827"/>
      <c r="CN20" s="1827"/>
      <c r="CO20" s="1827"/>
      <c r="CP20" s="1827"/>
      <c r="CQ20" s="1827"/>
      <c r="CR20" s="1827"/>
      <c r="CS20" s="1827"/>
      <c r="CT20" s="1827"/>
      <c r="CU20" s="1827"/>
      <c r="CV20" s="1827"/>
      <c r="CW20" s="1827"/>
      <c r="CX20" s="1827"/>
      <c r="CY20" s="1827"/>
      <c r="CZ20" s="1827"/>
      <c r="DA20" s="1827"/>
      <c r="DB20" s="1827"/>
      <c r="DC20" s="1827"/>
      <c r="DD20" s="1827"/>
      <c r="DE20" s="1827"/>
      <c r="DF20" s="1827"/>
      <c r="DG20" s="1827"/>
      <c r="DH20" s="1827"/>
      <c r="DI20" s="1827"/>
      <c r="DJ20" s="1827"/>
      <c r="DK20" s="1827"/>
      <c r="DL20" s="1827"/>
      <c r="DM20" s="1827"/>
      <c r="DN20" s="1827"/>
      <c r="DO20" s="1827"/>
      <c r="DP20" s="1827"/>
      <c r="DQ20" s="1827"/>
      <c r="DR20" s="1827"/>
      <c r="DS20" s="1827"/>
      <c r="DT20" s="1827"/>
      <c r="DU20" s="1827"/>
      <c r="DV20" s="1827"/>
      <c r="DW20" s="1827"/>
      <c r="DX20" s="1827"/>
      <c r="DY20" s="1827"/>
      <c r="DZ20" s="1827"/>
      <c r="EA20" s="1827"/>
      <c r="EB20" s="1827"/>
      <c r="EC20" s="1827"/>
      <c r="ED20" s="1827"/>
      <c r="EE20" s="1827"/>
      <c r="EF20" s="1827"/>
      <c r="EG20" s="1827"/>
      <c r="EH20" s="1827"/>
      <c r="EI20" s="1827"/>
      <c r="EJ20" s="1827"/>
      <c r="EK20" s="1827"/>
      <c r="EL20" s="1827"/>
      <c r="EM20" s="1827"/>
      <c r="EN20" s="1827"/>
      <c r="EO20" s="1827"/>
      <c r="EP20" s="1827"/>
      <c r="EQ20" s="1827"/>
      <c r="ER20" s="1827"/>
      <c r="ES20" s="1827"/>
      <c r="ET20" s="1827"/>
      <c r="EU20" s="1827"/>
      <c r="EV20" s="1827"/>
      <c r="EW20" s="1827"/>
      <c r="EX20" s="1827"/>
      <c r="EY20" s="1827"/>
      <c r="EZ20" s="1827"/>
      <c r="FA20" s="1827"/>
      <c r="FB20" s="1827"/>
      <c r="FC20" s="1827"/>
      <c r="FD20" s="1827"/>
      <c r="FE20" s="1827"/>
      <c r="FF20" s="1827"/>
      <c r="FG20" s="1827"/>
      <c r="FH20" s="1827"/>
      <c r="FI20" s="1827"/>
      <c r="FJ20" s="1827"/>
      <c r="FK20" s="1827"/>
      <c r="FL20" s="1827"/>
      <c r="FM20" s="1827"/>
      <c r="FN20" s="1827"/>
      <c r="FO20" s="1827"/>
      <c r="FP20" s="1827"/>
      <c r="FQ20" s="1827"/>
      <c r="FR20" s="1827"/>
      <c r="FS20" s="1827"/>
      <c r="FT20" s="1827"/>
      <c r="FU20" s="1827"/>
      <c r="FV20" s="1827"/>
      <c r="FW20" s="1827"/>
      <c r="FX20" s="1828"/>
      <c r="GC20" s="1548">
        <v>0</v>
      </c>
    </row>
    <row s="36917" customFormat="1" customHeight="1" ht="12.75">
      <c r="A21" s="1567"/>
      <c r="B21" s="1567"/>
      <c r="C21" s="1567"/>
      <c r="D21" s="1567"/>
      <c r="E21" s="1567"/>
      <c r="F21" s="1565"/>
      <c r="G21" s="1565"/>
      <c r="H21" s="1565"/>
      <c r="I21" s="1565"/>
      <c r="J21" s="1565"/>
      <c r="K21" s="1565"/>
      <c r="L21" s="1565"/>
      <c r="M21" s="1565"/>
      <c r="N21" s="1565"/>
      <c r="O21" s="1565"/>
      <c r="P21" s="1565"/>
      <c r="Q21" s="1565"/>
      <c r="R21" s="1565"/>
      <c r="S21" s="1568"/>
      <c r="T21" s="1568"/>
      <c r="U21" s="1565"/>
      <c r="V21" s="1565"/>
      <c r="W21" s="1565"/>
      <c r="X21" s="1565"/>
      <c r="Y21" s="1565"/>
      <c r="Z21" s="1565"/>
      <c r="AA21" s="1565"/>
      <c r="AB21" s="1565"/>
      <c r="AC21" s="1565"/>
      <c r="AD21" s="1565"/>
      <c r="AE21" s="1565"/>
      <c r="AF21" s="1565"/>
      <c r="AG21" s="1565"/>
      <c r="AH21" s="1565"/>
      <c r="AI21" s="1565"/>
      <c r="AJ21" s="1565"/>
      <c r="AK21" s="1565"/>
      <c r="AL21" s="1565"/>
      <c r="AM21" s="1565"/>
      <c r="AN21" s="1565"/>
      <c r="AO21" s="1565"/>
      <c r="AP21" s="1565"/>
      <c r="AQ21" s="1565"/>
      <c r="AR21" s="1565"/>
      <c r="AS21" s="1565"/>
      <c r="AT21" s="1565"/>
      <c r="AU21" s="1565"/>
      <c r="AV21" s="1565"/>
      <c r="AW21" s="1565"/>
      <c r="AX21" s="1565"/>
      <c r="AY21" s="1565"/>
      <c r="AZ21" s="1565"/>
      <c r="BA21" s="1565"/>
      <c r="BB21" s="1565"/>
      <c r="BC21" s="1565"/>
      <c r="BD21" s="1565"/>
      <c r="BE21" s="1565"/>
      <c r="BF21" s="1565"/>
      <c r="BG21" s="1565"/>
      <c r="BH21" s="1565"/>
      <c r="BI21" s="1565"/>
      <c r="BJ21" s="1565"/>
      <c r="BK21" s="1565"/>
      <c r="BL21" s="1565"/>
      <c r="BM21" s="1565"/>
      <c r="BN21" s="1565"/>
      <c r="BO21" s="1565"/>
      <c r="BP21" s="1565"/>
      <c r="BQ21" s="1565"/>
      <c r="BR21" s="1565"/>
      <c r="BS21" s="1565"/>
      <c r="BT21" s="1565"/>
      <c r="BU21" s="1565"/>
      <c r="BV21" s="1565"/>
      <c r="BW21" s="1565"/>
      <c r="BX21" s="1565"/>
      <c r="BY21" s="1565"/>
      <c r="BZ21" s="1565"/>
      <c r="CA21" s="1565"/>
      <c r="CB21" s="1565"/>
      <c r="CC21" s="1565"/>
      <c r="CD21" s="1565"/>
      <c r="CE21" s="1565"/>
      <c r="CF21" s="1565"/>
      <c r="CG21" s="1565"/>
      <c r="CH21" s="1565"/>
      <c r="CI21" s="1565"/>
      <c r="CJ21" s="1565"/>
      <c r="CK21" s="1565"/>
      <c r="CL21" s="1565"/>
      <c r="CM21" s="1565"/>
      <c r="CN21" s="1565"/>
      <c r="CO21" s="1565"/>
      <c r="CP21" s="1565"/>
      <c r="CQ21" s="1565"/>
      <c r="CR21" s="1565"/>
      <c r="CS21" s="1565"/>
      <c r="CT21" s="1565"/>
      <c r="CU21" s="1565"/>
      <c r="CV21" s="1565"/>
      <c r="CW21" s="1565"/>
      <c r="CX21" s="1565"/>
      <c r="CY21" s="1565"/>
      <c r="CZ21" s="1565"/>
      <c r="DA21" s="1565"/>
      <c r="DB21" s="1565"/>
      <c r="DC21" s="1565"/>
      <c r="DD21" s="1565"/>
      <c r="DE21" s="1565"/>
      <c r="DF21" s="1565"/>
      <c r="DG21" s="1565"/>
      <c r="DH21" s="1565"/>
      <c r="DI21" s="1565"/>
      <c r="DJ21" s="1565"/>
      <c r="DK21" s="1565"/>
      <c r="DL21" s="1565"/>
      <c r="DM21" s="1565"/>
      <c r="DN21" s="1565"/>
      <c r="DO21" s="1565"/>
      <c r="DP21" s="1565"/>
      <c r="DQ21" s="1565"/>
      <c r="DR21" s="1565"/>
      <c r="DS21" s="1565"/>
      <c r="DT21" s="1565"/>
      <c r="DU21" s="1565"/>
      <c r="DV21" s="1565"/>
      <c r="DW21" s="1565"/>
      <c r="DX21" s="1565"/>
      <c r="DY21" s="1565"/>
      <c r="DZ21" s="1565"/>
      <c r="EA21" s="1565"/>
      <c r="EB21" s="1565"/>
      <c r="EC21" s="1565"/>
      <c r="ED21" s="1565"/>
      <c r="EE21" s="1565"/>
      <c r="EF21" s="1565"/>
      <c r="EG21" s="1565"/>
      <c r="EH21" s="1565"/>
      <c r="EI21" s="1565"/>
      <c r="EJ21" s="1565"/>
      <c r="EK21" s="1565"/>
      <c r="EL21" s="1565"/>
      <c r="EM21" s="1565"/>
      <c r="EN21" s="1565"/>
      <c r="EO21" s="1565"/>
      <c r="EP21" s="1565"/>
      <c r="EQ21" s="1565"/>
      <c r="ER21" s="1565"/>
      <c r="ES21" s="1565"/>
      <c r="ET21" s="1565"/>
      <c r="EU21" s="1565"/>
      <c r="EV21" s="1565"/>
      <c r="EW21" s="1565"/>
      <c r="EX21" s="1565"/>
      <c r="EY21" s="1565"/>
      <c r="EZ21" s="1565"/>
      <c r="FA21" s="1565"/>
      <c r="FB21" s="1565"/>
      <c r="FC21" s="1565"/>
      <c r="FD21" s="1565"/>
      <c r="FE21" s="1565"/>
      <c r="FF21" s="1565"/>
      <c r="FG21" s="1565"/>
      <c r="FH21" s="1565"/>
      <c r="FI21" s="1565"/>
      <c r="FJ21" s="1565"/>
      <c r="FK21" s="1565"/>
      <c r="FL21" s="1565"/>
      <c r="FM21" s="1565"/>
      <c r="FN21" s="1565"/>
      <c r="FO21" s="1565"/>
      <c r="FP21" s="1565"/>
      <c r="FQ21" s="1565"/>
      <c r="FR21" s="1565"/>
      <c r="FS21" s="1565"/>
      <c r="FT21" s="1565"/>
      <c r="FU21" s="1565"/>
      <c r="FV21" s="1565"/>
      <c r="FW21" s="1565"/>
      <c r="FX21" s="1567"/>
      <c r="FY21" s="1567"/>
      <c r="FZ21" s="1567"/>
      <c r="GA21" s="1567"/>
      <c r="GB21" s="1567"/>
      <c r="GC21" s="1548">
        <v>12</v>
      </c>
    </row>
    <row s="36917" customFormat="1" customHeight="1" ht="12.75">
      <c r="A22" s="1567"/>
      <c r="B22" s="1567"/>
      <c r="C22" s="1567"/>
      <c r="D22" s="1567"/>
      <c r="E22" s="1567"/>
      <c r="FX22" s="1567"/>
      <c r="FY22" s="1567"/>
      <c r="FZ22" s="1567"/>
      <c r="GA22" s="1567"/>
      <c r="GB22" s="1567"/>
      <c r="GC22" s="1548">
        <v>12</v>
      </c>
    </row>
    <row s="36987" customFormat="1" customHeight="1" ht="12.75">
      <c r="A23" s="1688"/>
      <c r="B23" s="1688"/>
      <c r="C23" s="1688"/>
      <c r="D23" s="1688"/>
      <c r="E23" s="1688"/>
      <c r="O23" s="1690"/>
      <c r="P23" s="1690"/>
      <c r="Q23" s="1690"/>
      <c r="R23" s="1690"/>
      <c r="S23" s="1690"/>
      <c r="T23" s="1690"/>
      <c r="U23" s="1690"/>
      <c r="V23" s="1690"/>
      <c r="W23" s="1690"/>
      <c r="X23" s="1690"/>
      <c r="Y23" s="1690"/>
      <c r="Z23" s="1690"/>
      <c r="AA23" s="1690"/>
      <c r="AB23" s="1690"/>
      <c r="AC23" s="1690"/>
      <c r="AD23" s="1690"/>
      <c r="AE23" s="1690"/>
      <c r="AF23" s="1690"/>
      <c r="AG23" s="1690"/>
      <c r="AH23" s="1690"/>
      <c r="AI23" s="1690"/>
      <c r="AJ23" s="1690"/>
      <c r="AK23" s="1690"/>
      <c r="AL23" s="1690"/>
      <c r="AM23" s="1690"/>
      <c r="AN23" s="1690"/>
      <c r="AO23" s="1690"/>
      <c r="AP23" s="1690"/>
      <c r="AQ23" s="1690"/>
      <c r="AR23" s="1690"/>
      <c r="AS23" s="1690"/>
      <c r="AT23" s="1690"/>
      <c r="AU23" s="1690"/>
      <c r="AV23" s="1690"/>
      <c r="AW23" s="1690"/>
      <c r="AX23" s="1690"/>
      <c r="AY23" s="1690"/>
      <c r="AZ23" s="1690"/>
      <c r="BA23" s="1690"/>
      <c r="BB23" s="1690"/>
      <c r="BC23" s="1690"/>
      <c r="BD23" s="1690"/>
      <c r="BE23" s="1690"/>
      <c r="BF23" s="1690"/>
      <c r="BG23" s="1690"/>
      <c r="BH23" s="1690"/>
      <c r="BI23" s="1690"/>
      <c r="BJ23" s="1690"/>
      <c r="BK23" s="1690"/>
      <c r="BL23" s="1690"/>
      <c r="BM23" s="1690"/>
      <c r="BN23" s="1690"/>
      <c r="BO23" s="1690"/>
      <c r="BP23" s="1690"/>
      <c r="BQ23" s="1690"/>
      <c r="BR23" s="1690"/>
      <c r="BS23" s="1690"/>
      <c r="BT23" s="1691"/>
      <c r="BU23" s="1691"/>
      <c r="BV23" s="1691"/>
      <c r="BW23" s="1691"/>
      <c r="BX23" s="1691"/>
      <c r="BY23" s="1691"/>
      <c r="BZ23" s="1691"/>
      <c r="CA23" s="1691"/>
      <c r="CB23" s="1691"/>
      <c r="CC23" s="1691"/>
      <c r="CD23" s="1691"/>
      <c r="CE23" s="1691"/>
      <c r="CF23" s="1691"/>
      <c r="CG23" s="1691"/>
      <c r="CH23" s="1691"/>
      <c r="CI23" s="1691"/>
      <c r="CJ23" s="1691"/>
      <c r="CK23" s="1691"/>
      <c r="CL23" s="1691"/>
      <c r="CM23" s="1691"/>
      <c r="CN23" s="1691"/>
      <c r="CO23" s="1691"/>
      <c r="CP23" s="1691"/>
      <c r="CQ23" s="1691"/>
      <c r="CR23" s="1691"/>
      <c r="CS23" s="1691"/>
      <c r="CT23" s="1691"/>
      <c r="CU23" s="1691"/>
      <c r="CV23" s="1691"/>
      <c r="CW23" s="1691"/>
      <c r="CX23" s="1691"/>
      <c r="CY23" s="1691"/>
      <c r="CZ23" s="1691"/>
      <c r="DA23" s="1691"/>
      <c r="DB23" s="1691"/>
      <c r="DC23" s="1691"/>
      <c r="DD23" s="1691"/>
      <c r="DE23" s="1691"/>
      <c r="DF23" s="1691"/>
      <c r="DG23" s="1691"/>
      <c r="DH23" s="1691"/>
      <c r="DI23" s="1691"/>
      <c r="DJ23" s="1691"/>
      <c r="DK23" s="1691"/>
      <c r="DL23" s="1691"/>
      <c r="DM23" s="1691"/>
      <c r="DN23" s="1691"/>
      <c r="DO23" s="1691"/>
      <c r="DP23" s="1691"/>
      <c r="DQ23" s="1691"/>
      <c r="DR23" s="1691"/>
      <c r="DS23" s="1691"/>
      <c r="DT23" s="1691"/>
      <c r="DU23" s="1691"/>
      <c r="DV23" s="1691"/>
      <c r="DW23" s="1691"/>
      <c r="DX23" s="1691"/>
      <c r="FX23" s="1688"/>
      <c r="FY23" s="1688"/>
      <c r="FZ23" s="1688"/>
      <c r="GA23" s="1688"/>
      <c r="GB23" s="1688"/>
      <c r="GC23" s="1689">
        <v>12</v>
      </c>
    </row>
    <row customHeight="1" ht="12.75">
      <c r="S24" s="1564"/>
      <c r="T24" s="1564"/>
      <c r="U24" s="1564"/>
      <c r="V24" s="1564"/>
      <c r="W24" s="1564"/>
      <c r="X24" s="1564"/>
      <c r="Y24" s="1564"/>
      <c r="Z24" s="1564"/>
      <c r="AA24" s="1564"/>
      <c r="AB24" s="1564"/>
      <c r="FX24" s="1564"/>
      <c r="FY24" s="1564"/>
      <c r="FZ24" s="1564"/>
      <c r="GA24" s="1564"/>
      <c r="GB24" s="1564"/>
      <c r="GC24" s="1552">
        <v>12</v>
      </c>
    </row>
    <row customHeight="1" ht="12" hidden="1">
      <c r="A25" s="1552" t="s">
        <v>82</v>
      </c>
      <c r="B25" s="1562">
        <v>0</v>
      </c>
      <c r="C25" s="1552">
        <v>0</v>
      </c>
      <c r="D25" s="1552">
        <v>0</v>
      </c>
      <c r="E25" s="1552">
        <v>3</v>
      </c>
      <c r="F25" s="1552">
        <v>6</v>
      </c>
      <c r="G25" s="1552">
        <v>18</v>
      </c>
      <c r="H25" s="1552">
        <v>27</v>
      </c>
      <c r="I25" s="1552">
        <v>18</v>
      </c>
      <c r="J25" s="1552">
        <v>0</v>
      </c>
      <c r="K25" s="1552">
        <v>0</v>
      </c>
      <c r="L25" s="1552">
        <v>0</v>
      </c>
      <c r="M25" s="1552">
        <v>0</v>
      </c>
      <c r="N25" s="1552">
        <v>0</v>
      </c>
      <c r="O25" s="1552">
        <v>0</v>
      </c>
      <c r="P25" s="1552">
        <v>0</v>
      </c>
      <c r="Q25" s="1552">
        <v>0</v>
      </c>
      <c r="R25" s="1552">
        <v>0</v>
      </c>
      <c r="S25" s="1552">
        <v>0</v>
      </c>
      <c r="T25" s="1552">
        <v>0</v>
      </c>
      <c r="U25" s="1552">
        <v>0</v>
      </c>
      <c r="V25" s="1552">
        <v>0</v>
      </c>
      <c r="W25" s="1552">
        <v>0</v>
      </c>
      <c r="X25" s="1552">
        <v>0</v>
      </c>
      <c r="Y25" s="1552">
        <v>0</v>
      </c>
      <c r="Z25" s="1552">
        <v>0</v>
      </c>
      <c r="AA25" s="1552">
        <v>0</v>
      </c>
      <c r="AB25" s="1552">
        <v>0</v>
      </c>
      <c r="AC25" s="1552">
        <v>0</v>
      </c>
      <c r="AD25" s="1552">
        <v>0</v>
      </c>
      <c r="AE25" s="1552">
        <v>0</v>
      </c>
      <c r="AF25" s="1552">
        <v>0</v>
      </c>
      <c r="AG25" s="1552">
        <v>0</v>
      </c>
      <c r="AH25" s="1552">
        <v>0</v>
      </c>
      <c r="AI25" s="1552">
        <v>0</v>
      </c>
      <c r="AJ25" s="1552">
        <v>0</v>
      </c>
      <c r="AK25" s="1552">
        <v>0</v>
      </c>
      <c r="AL25" s="1552">
        <v>0</v>
      </c>
      <c r="AM25" s="1552">
        <v>0</v>
      </c>
      <c r="AN25" s="1552">
        <v>0</v>
      </c>
      <c r="AO25" s="1552">
        <v>0</v>
      </c>
      <c r="AP25" s="1552">
        <v>0</v>
      </c>
      <c r="AQ25" s="1552">
        <v>0</v>
      </c>
      <c r="AR25" s="1552">
        <v>0</v>
      </c>
      <c r="AS25" s="1552">
        <v>0</v>
      </c>
      <c r="AT25" s="1552">
        <v>0</v>
      </c>
      <c r="AU25" s="1552">
        <v>0</v>
      </c>
      <c r="AV25" s="1552">
        <v>0</v>
      </c>
      <c r="AW25" s="1552">
        <v>0</v>
      </c>
      <c r="AX25" s="1552">
        <v>0</v>
      </c>
      <c r="AY25" s="1552">
        <v>0</v>
      </c>
      <c r="AZ25" s="1552">
        <v>0</v>
      </c>
      <c r="BA25" s="1552">
        <v>0</v>
      </c>
      <c r="BB25" s="1552">
        <v>0</v>
      </c>
      <c r="BC25" s="1552">
        <v>0</v>
      </c>
      <c r="BD25" s="1552">
        <v>0</v>
      </c>
      <c r="BE25" s="1552">
        <v>0</v>
      </c>
      <c r="BF25" s="1552">
        <v>0</v>
      </c>
      <c r="BG25" s="1552">
        <v>0</v>
      </c>
      <c r="BH25" s="1552">
        <v>0</v>
      </c>
      <c r="BI25" s="1552">
        <v>0</v>
      </c>
      <c r="BJ25" s="1552">
        <v>0</v>
      </c>
      <c r="BK25" s="1552">
        <v>0</v>
      </c>
      <c r="BL25" s="1552">
        <v>0</v>
      </c>
      <c r="BM25" s="1552">
        <v>0</v>
      </c>
      <c r="BN25" s="1552">
        <v>0</v>
      </c>
      <c r="BO25" s="1552">
        <v>0</v>
      </c>
      <c r="BP25" s="1552">
        <v>0</v>
      </c>
      <c r="BQ25" s="1552">
        <v>0</v>
      </c>
      <c r="BR25" s="1552">
        <v>0</v>
      </c>
      <c r="BS25" s="1552">
        <v>0</v>
      </c>
      <c r="BT25" s="1552">
        <v>0</v>
      </c>
      <c r="BU25" s="1552">
        <v>0</v>
      </c>
      <c r="BV25" s="1552">
        <v>0</v>
      </c>
      <c r="BW25" s="1552">
        <v>0</v>
      </c>
      <c r="BX25" s="1552">
        <v>0</v>
      </c>
      <c r="BY25" s="1552">
        <v>0</v>
      </c>
      <c r="BZ25" s="1552">
        <v>0</v>
      </c>
      <c r="CA25" s="1552">
        <v>0</v>
      </c>
      <c r="CB25" s="1552">
        <v>0</v>
      </c>
      <c r="CC25" s="1552">
        <v>0</v>
      </c>
      <c r="CD25" s="1552">
        <v>0</v>
      </c>
      <c r="CE25" s="1552">
        <v>0</v>
      </c>
      <c r="CF25" s="1552">
        <v>0</v>
      </c>
      <c r="CG25" s="1552">
        <v>0</v>
      </c>
      <c r="CH25" s="1552">
        <v>0</v>
      </c>
      <c r="CI25" s="1552">
        <v>0</v>
      </c>
      <c r="CJ25" s="1552">
        <v>0</v>
      </c>
      <c r="CK25" s="1552">
        <v>0</v>
      </c>
      <c r="CL25" s="1552">
        <v>0</v>
      </c>
      <c r="CM25" s="1552">
        <v>0</v>
      </c>
      <c r="CN25" s="1552">
        <v>0</v>
      </c>
      <c r="CO25" s="1552">
        <v>0</v>
      </c>
      <c r="CP25" s="1552">
        <v>0</v>
      </c>
      <c r="CQ25" s="1552">
        <v>0</v>
      </c>
      <c r="CR25" s="1552">
        <v>0</v>
      </c>
      <c r="CS25" s="1552">
        <v>0</v>
      </c>
      <c r="CT25" s="1552">
        <v>0</v>
      </c>
      <c r="CU25" s="1552">
        <v>0</v>
      </c>
      <c r="CV25" s="1552">
        <v>0</v>
      </c>
      <c r="CW25" s="1552">
        <v>0</v>
      </c>
      <c r="CX25" s="1552">
        <v>0</v>
      </c>
      <c r="CY25" s="1552">
        <v>0</v>
      </c>
      <c r="CZ25" s="1552">
        <v>0</v>
      </c>
      <c r="DA25" s="1552">
        <v>0</v>
      </c>
      <c r="DB25" s="1552">
        <v>0</v>
      </c>
      <c r="DC25" s="1552">
        <v>0</v>
      </c>
      <c r="DD25" s="1552">
        <v>0</v>
      </c>
      <c r="DE25" s="1552">
        <v>0</v>
      </c>
      <c r="DF25" s="1552">
        <v>0</v>
      </c>
      <c r="DG25" s="1552">
        <v>0</v>
      </c>
      <c r="DH25" s="1552">
        <v>0</v>
      </c>
      <c r="DI25" s="1552">
        <v>0</v>
      </c>
      <c r="DJ25" s="1552">
        <v>0</v>
      </c>
      <c r="DK25" s="1552">
        <v>0</v>
      </c>
      <c r="DL25" s="1552">
        <v>0</v>
      </c>
      <c r="DM25" s="1552">
        <v>0</v>
      </c>
      <c r="DN25" s="1552">
        <v>0</v>
      </c>
      <c r="DO25" s="1552">
        <v>0</v>
      </c>
      <c r="DP25" s="1552">
        <v>0</v>
      </c>
      <c r="DQ25" s="1552">
        <v>0</v>
      </c>
      <c r="DR25" s="1552">
        <v>0</v>
      </c>
      <c r="DS25" s="1552">
        <v>0</v>
      </c>
      <c r="DT25" s="1552">
        <v>0</v>
      </c>
      <c r="DU25" s="1552">
        <v>0</v>
      </c>
      <c r="DV25" s="1552">
        <v>0</v>
      </c>
      <c r="DW25" s="1552">
        <v>0</v>
      </c>
      <c r="DX25" s="1552">
        <v>0</v>
      </c>
      <c r="DY25" s="1552">
        <v>0</v>
      </c>
      <c r="DZ25" s="1552">
        <v>0</v>
      </c>
      <c r="EA25" s="1552">
        <v>0</v>
      </c>
      <c r="EB25" s="1552">
        <v>0</v>
      </c>
      <c r="EC25" s="1552">
        <v>0</v>
      </c>
      <c r="ED25" s="1552">
        <v>0</v>
      </c>
      <c r="EE25" s="1552">
        <v>0</v>
      </c>
      <c r="EF25" s="1552">
        <v>0</v>
      </c>
      <c r="EG25" s="1552">
        <v>0</v>
      </c>
      <c r="EH25" s="1552">
        <v>0</v>
      </c>
      <c r="EI25" s="1552">
        <v>0</v>
      </c>
      <c r="EJ25" s="1552">
        <v>0</v>
      </c>
      <c r="EK25" s="1552">
        <v>0</v>
      </c>
      <c r="EL25" s="1552">
        <v>0</v>
      </c>
      <c r="EM25" s="1552">
        <v>0</v>
      </c>
      <c r="EN25" s="1552">
        <v>0</v>
      </c>
      <c r="EO25" s="1552">
        <v>0</v>
      </c>
      <c r="EP25" s="1552">
        <v>0</v>
      </c>
      <c r="EQ25" s="1552">
        <v>0</v>
      </c>
      <c r="ER25" s="1552">
        <v>0</v>
      </c>
      <c r="ES25" s="1552">
        <v>0</v>
      </c>
      <c r="ET25" s="1552">
        <v>0</v>
      </c>
      <c r="EU25" s="1552">
        <v>0</v>
      </c>
      <c r="EV25" s="1552">
        <v>0</v>
      </c>
      <c r="EW25" s="1552">
        <v>0</v>
      </c>
      <c r="EX25" s="1552">
        <v>0</v>
      </c>
      <c r="EY25" s="1552">
        <v>0</v>
      </c>
      <c r="EZ25" s="1552">
        <v>0</v>
      </c>
      <c r="FA25" s="1552">
        <v>0</v>
      </c>
      <c r="FB25" s="1552">
        <v>0</v>
      </c>
      <c r="FC25" s="1552">
        <v>0</v>
      </c>
      <c r="FD25" s="1552">
        <v>0</v>
      </c>
      <c r="FE25" s="1552">
        <v>0</v>
      </c>
      <c r="FF25" s="1552">
        <v>0</v>
      </c>
      <c r="FG25" s="1552">
        <v>0</v>
      </c>
      <c r="FH25" s="1552">
        <v>0</v>
      </c>
      <c r="FI25" s="1552">
        <v>0</v>
      </c>
      <c r="FJ25" s="1552">
        <v>0</v>
      </c>
      <c r="FK25" s="1552">
        <v>0</v>
      </c>
      <c r="FL25" s="1552">
        <v>0</v>
      </c>
      <c r="FM25" s="1552">
        <v>0</v>
      </c>
      <c r="FN25" s="1552">
        <v>0</v>
      </c>
      <c r="FO25" s="1552">
        <v>0</v>
      </c>
      <c r="FP25" s="1552">
        <v>0</v>
      </c>
      <c r="FQ25" s="1552">
        <v>0</v>
      </c>
      <c r="FR25" s="1552">
        <v>0</v>
      </c>
      <c r="FS25" s="1552">
        <v>0</v>
      </c>
      <c r="FT25" s="1552">
        <v>0</v>
      </c>
      <c r="FU25" s="1552">
        <v>0</v>
      </c>
      <c r="FV25" s="1552">
        <v>0</v>
      </c>
      <c r="FW25" s="1552">
        <v>0</v>
      </c>
      <c r="FX25" s="1552">
        <v>8</v>
      </c>
      <c r="FY25" s="1552">
        <v>8</v>
      </c>
      <c r="FZ25" s="1552">
        <v>8</v>
      </c>
      <c r="GA25" s="1552">
        <v>8</v>
      </c>
      <c r="GB25" s="1552">
        <v>8</v>
      </c>
      <c r="GC25" s="1552">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25A7CA-ECD8-418B-A306-9765F52F4931}" mc:Ignorable="x14ac xr xr2 xr3">
  <sheetPr>
    <tabColor theme="2" tint="-0.1"/>
  </sheetPr>
  <dimension ref="A1:W23"/>
  <sheetViews>
    <sheetView showGridLines="0" zoomScale="80" workbookViewId="0">
      <pane xSplit="7" ySplit="14" topLeftCell="H15" activePane="bottomRight" state="frozen"/>
      <selection pane="bottomLeft" activeCell="A15" sqref="A15"/>
      <selection pane="topRight" activeCell="H1" sqref="H1"/>
      <selection pane="bottomRight" activeCell="E21" sqref="E21"/>
    </sheetView>
  </sheetViews>
  <sheetFormatPr defaultColWidth="10.57421875" customHeight="1" defaultRowHeight="15"/>
  <cols>
    <col min="1" max="1" style="34544" width="9.140625" hidden="1" customWidth="1"/>
    <col min="2" max="2" style="34580" width="9.140625" hidden="1" customWidth="1"/>
    <col min="3" max="3" style="36811" width="4.00390625" customWidth="1"/>
    <col min="4" max="4" style="34580" width="6.00390625" customWidth="1"/>
    <col min="5" max="5" style="34580" width="36.00390625" customWidth="1"/>
    <col min="6" max="6" style="34580" width="9.00390625" customWidth="1"/>
    <col min="7" max="7" style="34580" width="42.421875" hidden="1" customWidth="1"/>
    <col min="8" max="8" style="34580" width="40.7109375" customWidth="1"/>
    <col min="9" max="12" style="35917" width="42.421875" customWidth="1"/>
    <col min="13" max="13" style="34657" width="93.00390625" customWidth="1"/>
    <col min="14" max="21" style="34580" width="10.00390625" customWidth="1"/>
    <col min="22" max="22" style="36812" width="10.00390625" customWidth="1"/>
    <col min="23" max="23" style="34580" width="10.57421875" hidden="1"/>
  </cols>
  <sheetData>
    <row s="34657" customFormat="1" customHeight="1" ht="15" hidden="1">
      <c r="C1" s="1298"/>
      <c r="H1" s="1043">
        <v>4</v>
      </c>
      <c r="I1" s="4490"/>
      <c r="J1" s="4490"/>
      <c r="K1" s="4490"/>
      <c r="L1" s="4490"/>
      <c r="V1" s="1046"/>
      <c r="W1" s="1043" t="s">
        <v>14</v>
      </c>
    </row>
    <row customHeight="1" ht="22.5" hidden="1">
      <c r="C2" s="2554" t="s">
        <v>103</v>
      </c>
      <c r="D2" s="1165"/>
      <c r="E2" s="1289"/>
      <c r="F2" s="2387" t="str">
        <f>IF(TEMPLATE_SPHERE="HEAT","Гкал/час","тыс. куб. м/сутки")</f>
        <v>Гкал/час</v>
      </c>
      <c r="G2" s="1306"/>
      <c r="H2" s="1306"/>
      <c r="I2" s="4877"/>
      <c r="J2" s="4877"/>
      <c r="K2" s="4877"/>
      <c r="L2" s="4877"/>
      <c r="M2" s="915"/>
      <c r="W2" s="1131">
        <v>0</v>
      </c>
    </row>
    <row s="34657" customFormat="1" customHeight="1" ht="15" hidden="1">
      <c r="C3" s="1298"/>
      <c r="I3" s="4490"/>
      <c r="J3" s="4490"/>
      <c r="K3" s="4490"/>
      <c r="L3" s="4490"/>
      <c r="V3" s="1046"/>
      <c r="W3" s="1043">
        <v>0</v>
      </c>
    </row>
    <row customHeight="1" ht="15.75">
      <c r="C4" s="802"/>
      <c r="D4" s="1135"/>
      <c r="E4" s="1135"/>
      <c r="F4" s="1135"/>
      <c r="G4" s="1135"/>
      <c r="H4" s="1135"/>
      <c r="I4" s="4469"/>
      <c r="J4" s="4469"/>
      <c r="K4" s="4469"/>
      <c r="L4" s="4469"/>
      <c r="W4" s="1131">
        <v>15</v>
      </c>
    </row>
    <row customHeight="1" ht="39.75">
      <c r="C5" s="802"/>
      <c r="D5" s="286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863"/>
      <c r="F5" s="2863"/>
      <c r="G5" s="2863"/>
      <c r="H5" s="2863"/>
      <c r="I5" s="4501"/>
      <c r="J5" s="4501"/>
      <c r="K5" s="4501"/>
      <c r="L5" s="4501"/>
      <c r="M5" s="1163"/>
      <c r="W5" s="1131">
        <v>38</v>
      </c>
    </row>
    <row customHeight="1" ht="15.75">
      <c r="C6" s="802"/>
      <c r="D6" s="2802" t="str">
        <f>IF(org=0,"Не определено",org)</f>
        <v>АО "ДГК"</v>
      </c>
      <c r="E6" s="2802"/>
      <c r="F6" s="2802"/>
      <c r="G6" s="2802"/>
      <c r="H6" s="2802"/>
      <c r="I6" s="4503"/>
      <c r="J6" s="4503"/>
      <c r="K6" s="4503"/>
      <c r="L6" s="4503"/>
      <c r="M6" s="1163"/>
      <c r="W6" s="1131">
        <v>15</v>
      </c>
    </row>
    <row s="34580" customFormat="1" customHeight="1" ht="15.75">
      <c r="A7" s="1385"/>
      <c r="C7" s="802"/>
      <c r="D7" s="1302"/>
      <c r="E7" s="1302"/>
      <c r="F7" s="1302"/>
      <c r="G7" s="1302"/>
      <c r="H7" s="1378"/>
      <c r="I7" s="5175" t="s">
        <v>22</v>
      </c>
      <c r="J7" s="5175" t="s">
        <v>22</v>
      </c>
      <c r="K7" s="5175" t="s">
        <v>22</v>
      </c>
      <c r="L7" s="5175" t="s">
        <v>22</v>
      </c>
      <c r="M7" s="1163"/>
      <c r="V7" s="1301"/>
      <c r="W7" s="1384">
        <v>15</v>
      </c>
    </row>
    <row customHeight="1" ht="1.05">
      <c r="C8" s="802"/>
      <c r="D8" s="1135"/>
      <c r="E8" s="1135"/>
      <c r="F8" s="1135"/>
      <c r="G8" s="1135"/>
      <c r="H8" s="1163" t="s">
        <v>126</v>
      </c>
      <c r="I8" s="4469" t="s">
        <v>131</v>
      </c>
      <c r="J8" s="4469" t="s">
        <v>134</v>
      </c>
      <c r="K8" s="4469" t="s">
        <v>139</v>
      </c>
      <c r="L8" s="4469" t="s">
        <v>137</v>
      </c>
      <c r="W8" s="1131">
        <v>1</v>
      </c>
    </row>
    <row customHeight="1" ht="66">
      <c r="C9" s="802"/>
      <c r="D9" s="1337"/>
      <c r="E9" s="2993" t="s">
        <v>114</v>
      </c>
      <c r="F9" s="2994"/>
      <c r="G9" s="1442" t="str">
        <f>IF(G8="","",INDEX(DIFFERENTIATION_UNMERGE_VD,MATCH(G8,DIFFERENTIATION_ID_DIFF,0)))</f>
        <v/>
      </c>
      <c r="H9" s="1442"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I9" s="4947"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J9" s="4947" t="str">
        <f>IF(J8="","",INDEX(DIFFERENTIATION_UNMERGE_VD,MATCH(J8,DIFFERENTIATION_ID_DIFF,0)))</f>
        <v>Производство тепловой энергии. Некомбинированная выработка</v>
      </c>
      <c r="K9" s="4947"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v>
      </c>
      <c r="L9" s="4947" t="str">
        <f>IF(L8="","",INDEX(DIFFERENTIATION_UNMERGE_VD,MATCH(L8,DIFFERENTIATION_ID_DIFF,0)))</f>
        <v>Производство тепловой энергии. Некомбинированная выработка</v>
      </c>
      <c r="M9" s="2753" t="s">
        <v>319</v>
      </c>
      <c r="W9" s="1131">
        <v>15</v>
      </c>
    </row>
    <row s="34580" customFormat="1" customHeight="1" ht="55.5">
      <c r="A10" s="1385"/>
      <c r="C10" s="802"/>
      <c r="D10" s="1337"/>
      <c r="E10" s="2993" t="s">
        <v>582</v>
      </c>
      <c r="F10" s="2994"/>
      <c r="G10" s="1442" t="str">
        <f>IF(G8="","",INDEX(DIFFERENTIATION_UNMERGE_AREA,MATCH(G8,DIFFERENTIATION_ID_DIFF,0)))</f>
        <v/>
      </c>
      <c r="H10" s="1442" t="str">
        <f>IF(H8="","",INDEX(DIFFERENTIATION_UNMERGE_AREA,MATCH(H8,DIFFERENTIATION_ID_DIFF,0)))</f>
        <v>Территория 1</v>
      </c>
      <c r="I10" s="4947" t="str">
        <f>IF(I8="","",INDEX(DIFFERENTIATION_UNMERGE_AREA,MATCH(I8,DIFFERENTIATION_ID_DIFF,0)))</f>
        <v>Территория 2</v>
      </c>
      <c r="J10" s="4947" t="str">
        <f>IF(J8="","",INDEX(DIFFERENTIATION_UNMERGE_AREA,MATCH(J8,DIFFERENTIATION_ID_DIFF,0)))</f>
        <v>Территория 2</v>
      </c>
      <c r="K10" s="4947" t="str">
        <f>IF(K8="","",INDEX(DIFFERENTIATION_UNMERGE_AREA,MATCH(K8,DIFFERENTIATION_ID_DIFF,0)))</f>
        <v>Территория 3</v>
      </c>
      <c r="L10" s="4947" t="str">
        <f>IF(L8="","",INDEX(DIFFERENTIATION_UNMERGE_AREA,MATCH(L8,DIFFERENTIATION_ID_DIFF,0)))</f>
        <v>Территория 3</v>
      </c>
      <c r="M10" s="2753"/>
      <c r="V10" s="1301"/>
      <c r="W10" s="1384">
        <v>15</v>
      </c>
    </row>
    <row s="34580" customFormat="1" customHeight="1" ht="54">
      <c r="A11" s="1385"/>
      <c r="C11" s="802"/>
      <c r="D11" s="1337"/>
      <c r="E11" s="2993" t="s">
        <v>583</v>
      </c>
      <c r="F11" s="2994"/>
      <c r="G11" s="1442" t="str">
        <f>IF(G8="","",INDEX(DIFFERENTIATION_UNMERGE_SYSTEM,MATCH(G8,DIFFERENTIATION_ID_DIFF,0)))</f>
        <v/>
      </c>
      <c r="H11" s="1442" t="str">
        <f>IF(H8="","",INDEX(DIFFERENTIATION_UNMERGE_SYSTEM,MATCH(H8,DIFFERENTIATION_ID_DIFF,0)))</f>
        <v>Благовещенская ТЭЦ (г. Благовещенск)</v>
      </c>
      <c r="I11" s="4947" t="str">
        <f>IF(I8="","",INDEX(DIFFERENTIATION_UNMERGE_SYSTEM,MATCH(I8,DIFFERENTIATION_ID_DIFF,0)))</f>
        <v>Райчихинская ГРЭС </v>
      </c>
      <c r="J11" s="4947" t="str">
        <f>IF(J8="","",INDEX(DIFFERENTIATION_UNMERGE_SYSTEM,MATCH(J8,DIFFERENTIATION_ID_DIFF,0)))</f>
        <v>Котельная "Агромех" (п.г.т. Новорайчихинск)</v>
      </c>
      <c r="K11" s="4947" t="str">
        <f>IF(K8="","",INDEX(DIFFERENTIATION_UNMERGE_SYSTEM,MATCH(K8,DIFFERENTIATION_ID_DIFF,0)))</f>
        <v>Благовещенская ТЭЦ (с. Чигири)</v>
      </c>
      <c r="L11" s="4947" t="str">
        <f>IF(L8="","",INDEX(DIFFERENTIATION_UNMERGE_SYSTEM,MATCH(L8,DIFFERENTIATION_ID_DIFF,0)))</f>
        <v>Котельная "Центральная" (с. Чигири ) </v>
      </c>
      <c r="M11" s="2753"/>
      <c r="V11" s="1301"/>
      <c r="W11" s="1384">
        <v>15</v>
      </c>
    </row>
    <row s="34580" customFormat="1" customHeight="1" ht="15.75">
      <c r="A12" s="1385"/>
      <c r="C12" s="802"/>
      <c r="D12" s="2995" t="s">
        <v>318</v>
      </c>
      <c r="E12" s="2996"/>
      <c r="F12" s="2996"/>
      <c r="G12" s="1513"/>
      <c r="H12" s="1513"/>
      <c r="I12" s="4516"/>
      <c r="J12" s="4516"/>
      <c r="K12" s="4516"/>
      <c r="L12" s="4516"/>
      <c r="M12" s="2753"/>
      <c r="V12" s="1301"/>
      <c r="W12" s="1384">
        <v>15</v>
      </c>
    </row>
    <row customHeight="1" ht="35.699999999999996">
      <c r="C13" s="802"/>
      <c r="D13" s="1387" t="s">
        <v>88</v>
      </c>
      <c r="E13" s="1386" t="s">
        <v>320</v>
      </c>
      <c r="F13" s="1386" t="s">
        <v>584</v>
      </c>
      <c r="G13" s="1434" t="s">
        <v>321</v>
      </c>
      <c r="H13" s="1380" t="s">
        <v>321</v>
      </c>
      <c r="I13" s="4747" t="s">
        <v>321</v>
      </c>
      <c r="J13" s="4747" t="s">
        <v>321</v>
      </c>
      <c r="K13" s="4747" t="s">
        <v>321</v>
      </c>
      <c r="L13" s="4747" t="s">
        <v>321</v>
      </c>
      <c r="M13" s="2753"/>
      <c r="W13" s="1131">
        <v>34</v>
      </c>
    </row>
    <row customHeight="1" ht="15" hidden="1">
      <c r="C14" s="802"/>
      <c r="D14" s="1219" t="s">
        <v>118</v>
      </c>
      <c r="E14" s="1219" t="s">
        <v>102</v>
      </c>
      <c r="F14" s="1219" t="s">
        <v>90</v>
      </c>
      <c r="G14" s="1285" t="str">
        <f>G1&amp;".1"</f>
        <v>.1</v>
      </c>
      <c r="H14" s="1285" t="str">
        <f>H1&amp;".1"</f>
        <v>4.1</v>
      </c>
      <c r="I14" s="4955" t="str">
        <f>I1&amp;".1"</f>
        <v>.1</v>
      </c>
      <c r="J14" s="4955" t="str">
        <f>J1&amp;".1"</f>
        <v>.1</v>
      </c>
      <c r="K14" s="4955" t="str">
        <f>K1&amp;".1"</f>
        <v>.1</v>
      </c>
      <c r="L14" s="4955" t="str">
        <f>L1&amp;".1"</f>
        <v>.1</v>
      </c>
      <c r="M14" s="915"/>
      <c r="W14" s="1131">
        <v>0</v>
      </c>
    </row>
    <row customHeight="1" ht="15.75">
      <c r="A15" s="1131"/>
      <c r="C15" s="1152"/>
      <c r="D15" s="1147">
        <v>1</v>
      </c>
      <c r="E15" s="2556" t="str">
        <f>TP_P_A</f>
        <v>Количество поданных заявок</v>
      </c>
      <c r="F15" s="1147" t="s">
        <v>1296</v>
      </c>
      <c r="G15" s="1311"/>
      <c r="H15" s="1311">
        <v>7</v>
      </c>
      <c r="I15" s="5180">
        <v>3</v>
      </c>
      <c r="J15" s="5180">
        <v>0</v>
      </c>
      <c r="K15" s="5180">
        <v>0</v>
      </c>
      <c r="L15" s="5180">
        <v>2</v>
      </c>
      <c r="M15" s="83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W15" s="1131">
        <v>15</v>
      </c>
    </row>
    <row customHeight="1" ht="15.75">
      <c r="A16" s="1131"/>
      <c r="C16" s="1152"/>
      <c r="D16" s="1147">
        <v>2</v>
      </c>
      <c r="E16" s="2556" t="str">
        <f>TP_P_B</f>
        <v>Количество рассмотренных заявок</v>
      </c>
      <c r="F16" s="1147" t="s">
        <v>1296</v>
      </c>
      <c r="G16" s="1311"/>
      <c r="H16" s="1311">
        <v>2</v>
      </c>
      <c r="I16" s="5180">
        <v>0</v>
      </c>
      <c r="J16" s="5180">
        <v>0</v>
      </c>
      <c r="K16" s="5180">
        <v>1</v>
      </c>
      <c r="L16" s="5180">
        <v>1</v>
      </c>
      <c r="M16" s="83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W16" s="1131">
        <v>15</v>
      </c>
    </row>
    <row customHeight="1" ht="77.7">
      <c r="A17" s="1131"/>
      <c r="C17" s="1152"/>
      <c r="D17" s="1147">
        <v>3</v>
      </c>
      <c r="E17" s="255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147" t="s">
        <v>1296</v>
      </c>
      <c r="G17" s="1311"/>
      <c r="H17" s="1311">
        <v>0</v>
      </c>
      <c r="I17" s="5180">
        <v>0</v>
      </c>
      <c r="J17" s="5180">
        <v>0</v>
      </c>
      <c r="K17" s="5180">
        <v>0</v>
      </c>
      <c r="L17" s="5180">
        <v>0</v>
      </c>
      <c r="M17" s="834" t="str">
        <f>TP_P_NOTE_V</f>
        <v>Указывается количество заявок с решением об отказе в течение отчетного квартала.</v>
      </c>
      <c r="W17" s="1131">
        <v>74</v>
      </c>
    </row>
    <row customHeight="1" ht="54.75">
      <c r="A18" s="1131"/>
      <c r="C18" s="1152"/>
      <c r="D18" s="1147">
        <v>4</v>
      </c>
      <c r="E18" s="2556" t="str">
        <f>TP_P_V_1</f>
        <v>Причины отказа в заключении договора о подключении (технологическом присоединении) к системе теплоснабжения</v>
      </c>
      <c r="F18" s="1147" t="s">
        <v>324</v>
      </c>
      <c r="G18" s="1312"/>
      <c r="H18" s="1312"/>
      <c r="I18" s="4888"/>
      <c r="J18" s="4888"/>
      <c r="K18" s="4888"/>
      <c r="L18" s="4888"/>
      <c r="M18" s="146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W18" s="1131">
        <v>52</v>
      </c>
    </row>
    <row customHeight="1" ht="60">
      <c r="A19" s="1131"/>
      <c r="C19" s="1152"/>
      <c r="D19" s="1147">
        <v>5</v>
      </c>
      <c r="E19" s="2556" t="str">
        <f>TP_P_G</f>
        <v>Резерв мощности источников тепловой энергии, входящих в систему теплоснабжения, в течение одного квартала, в том числе:</v>
      </c>
      <c r="F19" s="1147" t="str">
        <f>IF(TEMPLATE_SPHERE="HEAT","Гкал/час","тыс. куб. м/сутки")</f>
        <v>Гкал/час</v>
      </c>
      <c r="G19" s="1313">
        <f>SUM(G20:G22)</f>
        <v>0</v>
      </c>
      <c r="H19" s="1313">
        <f>SUM(H20:H22)</f>
        <v>0.48</v>
      </c>
      <c r="I19" s="5184">
        <f>SUM(I20:I22)</f>
        <v>121.41</v>
      </c>
      <c r="J19" s="5184">
        <f>SUM(J20:J22)</f>
        <v>13.89</v>
      </c>
      <c r="K19" s="5184">
        <f>SUM(K20:K22)</f>
        <v>0.48</v>
      </c>
      <c r="L19" s="5184">
        <f>SUM(L20:L22)</f>
        <v>4.28</v>
      </c>
      <c r="M19" s="834"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W19" s="1131">
        <v>57</v>
      </c>
    </row>
    <row customHeight="1" ht="15" hidden="1">
      <c r="D20" s="1135" t="s">
        <v>1297</v>
      </c>
      <c r="E20" s="1314"/>
      <c r="F20" s="1135"/>
      <c r="G20" s="1135"/>
      <c r="H20" s="1135"/>
      <c r="I20" s="4469"/>
      <c r="J20" s="4469"/>
      <c r="K20" s="4469"/>
      <c r="L20" s="4469"/>
      <c r="M20" s="2389"/>
      <c r="W20" s="1131">
        <v>0</v>
      </c>
    </row>
    <row customHeight="1" ht="29.25">
      <c r="C21" s="1077"/>
      <c r="D21" s="1165" t="s">
        <v>331</v>
      </c>
      <c r="E21" s="1296" t="s">
        <v>1298</v>
      </c>
      <c r="F21" s="2387" t="str">
        <f>IF(TEMPLATE_SPHERE="HEAT","Гкал/час","тыс. куб. м/сутки")</f>
        <v>Гкал/час</v>
      </c>
      <c r="G21" s="1306"/>
      <c r="H21" s="1306">
        <v>0.48</v>
      </c>
      <c r="I21" s="4877">
        <v>121.41</v>
      </c>
      <c r="J21" s="4877">
        <v>13.89</v>
      </c>
      <c r="K21" s="4877">
        <v>0.48</v>
      </c>
      <c r="L21" s="4877">
        <v>4.28</v>
      </c>
      <c r="M21" s="2795"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W21" s="1131">
        <v>28</v>
      </c>
    </row>
    <row customHeight="1" ht="15.75">
      <c r="A22" s="1131"/>
      <c r="C22" s="1131"/>
      <c r="D22" s="973"/>
      <c r="E22" s="1206" t="s">
        <v>1299</v>
      </c>
      <c r="F22" s="1198"/>
      <c r="G22" s="1198"/>
      <c r="H22" s="1198"/>
      <c r="I22" s="5187"/>
      <c r="J22" s="5188"/>
      <c r="K22" s="5189"/>
      <c r="L22" s="5190"/>
      <c r="M22" s="2797"/>
      <c r="V22" s="1131"/>
      <c r="W22" s="1131">
        <v>15</v>
      </c>
    </row>
    <row customHeight="1" ht="22.5" hidden="1">
      <c r="A23" s="1075" t="s">
        <v>82</v>
      </c>
      <c r="B23" s="1131">
        <v>0</v>
      </c>
      <c r="C23" s="1309">
        <v>4</v>
      </c>
      <c r="D23" s="1131">
        <v>6</v>
      </c>
      <c r="E23" s="1131">
        <v>36</v>
      </c>
      <c r="F23" s="1131">
        <v>9</v>
      </c>
      <c r="G23" s="1384">
        <v>0</v>
      </c>
      <c r="H23" s="1131">
        <v>40</v>
      </c>
      <c r="I23" s="4469">
        <v>0</v>
      </c>
      <c r="J23" s="4469">
        <v>0</v>
      </c>
      <c r="K23" s="4469">
        <v>0</v>
      </c>
      <c r="L23" s="4469">
        <v>0</v>
      </c>
      <c r="M23" s="1043">
        <v>93</v>
      </c>
      <c r="N23" s="1131">
        <v>10</v>
      </c>
      <c r="O23" s="1131">
        <v>10</v>
      </c>
      <c r="P23" s="1131">
        <v>10</v>
      </c>
      <c r="Q23" s="1131">
        <v>10</v>
      </c>
      <c r="R23" s="1131">
        <v>10</v>
      </c>
      <c r="S23" s="1131">
        <v>10</v>
      </c>
      <c r="T23" s="1131">
        <v>10</v>
      </c>
      <c r="U23" s="1131">
        <v>10</v>
      </c>
      <c r="V23" s="1301">
        <v>10</v>
      </c>
      <c r="W23" s="1131">
        <v>23</v>
      </c>
    </row>
  </sheetData>
  <sheetProtection sheet="1" formatColumns="0" formatRows="0" autoFilter="0" sort="1" insertRows="1" insertColumns="1" deleteRows="1" deleteColumns="1"/>
  <mergeCells count="8">
    <mergeCell ref="M21:M22"/>
    <mergeCell ref="M9: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L18">
      <formula1>900</formula1>
    </dataValidation>
    <dataValidation type="whole" allowBlank="1" showErrorMessage="1" errorTitle="Ошибка" error="Допускается ввод только неотрицательных целых чисел!" sqref="G15:L17">
      <formula1>0</formula1>
      <formula2>9.99999999999999E+23</formula2>
    </dataValidation>
    <dataValidation type="decimal" allowBlank="1" showErrorMessage="1" errorTitle="Ошибка" error="Допускается ввод только действительных чисел!" sqref="G2:L2 G21:L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6682E2-8C8C-690A-391C-C0ECA798C2BB}"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35441" width="9.140625" hidden="1" customWidth="1"/>
    <col min="2" max="2" style="34657" width="9.140625" hidden="1" customWidth="1"/>
    <col min="3" max="3" style="35442" width="3.00390625" customWidth="1"/>
    <col min="4" max="4" style="34580" width="6.00390625" customWidth="1"/>
    <col min="5" max="6" style="34580" width="64.00390625" customWidth="1"/>
    <col min="7" max="7" style="34580" width="140.00390625" customWidth="1"/>
    <col min="8" max="8" style="34580" width="10.00390625" customWidth="1"/>
    <col min="9" max="10" style="34757" width="10.00390625" customWidth="1"/>
    <col min="11" max="16" style="34580" width="10.00390625" customWidth="1"/>
    <col min="17" max="17" style="34580" width="10.57421875" hidden="1"/>
  </cols>
  <sheetData>
    <row customHeight="1" ht="22.5" hidden="1">
      <c r="M1" s="881"/>
      <c r="N1" s="881"/>
      <c r="P1" s="881"/>
      <c r="Q1" s="709" t="s">
        <v>14</v>
      </c>
    </row>
    <row customHeight="1" ht="14.25" hidden="1">
      <c r="Q2" s="709">
        <v>0</v>
      </c>
    </row>
    <row customHeight="1" ht="14.25" hidden="1">
      <c r="Q3" s="709">
        <v>0</v>
      </c>
    </row>
    <row customHeight="1" ht="3">
      <c r="C4" s="722"/>
      <c r="D4" s="710"/>
      <c r="E4" s="710"/>
      <c r="F4" s="711"/>
      <c r="G4" s="711"/>
      <c r="Q4" s="709">
        <v>3</v>
      </c>
    </row>
    <row customHeight="1" ht="29.25">
      <c r="C5" s="722"/>
      <c r="D5" s="308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081"/>
      <c r="F5" s="3081"/>
      <c r="G5" s="3082"/>
      <c r="Q5" s="709">
        <v>28</v>
      </c>
    </row>
    <row s="34580" customFormat="1" customHeight="1" ht="18.75">
      <c r="A6" s="1508"/>
      <c r="B6" s="1043"/>
      <c r="C6" s="1002"/>
      <c r="D6" s="3083" t="str">
        <f>IF(org=0,"Не определено",org)</f>
        <v>АО "ДГК"</v>
      </c>
      <c r="E6" s="3084"/>
      <c r="F6" s="3084"/>
      <c r="G6" s="3085"/>
      <c r="I6" s="1126"/>
      <c r="J6" s="1126"/>
      <c r="Q6" s="1384">
        <v>18</v>
      </c>
    </row>
    <row customHeight="1" ht="14.699999999999998">
      <c r="C7" s="722"/>
      <c r="D7" s="710"/>
      <c r="E7" s="721"/>
      <c r="F7" s="1378"/>
      <c r="G7" s="819"/>
      <c r="Q7" s="709">
        <v>14</v>
      </c>
    </row>
    <row s="34580" customFormat="1" customHeight="1" ht="1.05">
      <c r="A8" s="2295"/>
      <c r="B8" s="1786"/>
      <c r="C8" s="1002"/>
      <c r="D8" s="989"/>
      <c r="E8" s="1015"/>
      <c r="F8" s="1378"/>
      <c r="G8" s="819"/>
      <c r="I8" s="2250"/>
      <c r="J8" s="2250"/>
      <c r="Q8" s="2257">
        <v>1</v>
      </c>
    </row>
    <row customHeight="1" ht="14.699999999999998">
      <c r="C9" s="722"/>
      <c r="D9" s="2835" t="s">
        <v>318</v>
      </c>
      <c r="E9" s="2835"/>
      <c r="F9" s="2835"/>
      <c r="G9" s="3015" t="s">
        <v>319</v>
      </c>
      <c r="Q9" s="709">
        <v>14</v>
      </c>
    </row>
    <row customHeight="1" ht="24">
      <c r="C10" s="722"/>
      <c r="D10" s="731" t="s">
        <v>88</v>
      </c>
      <c r="E10" s="734" t="s">
        <v>320</v>
      </c>
      <c r="F10" s="734" t="s">
        <v>408</v>
      </c>
      <c r="G10" s="3015"/>
      <c r="Q10" s="709">
        <v>23</v>
      </c>
    </row>
    <row customHeight="1" ht="12" hidden="1">
      <c r="C11" s="722"/>
      <c r="D11" s="713"/>
      <c r="E11" s="713"/>
      <c r="F11" s="713"/>
      <c r="G11" s="713"/>
      <c r="Q11" s="709">
        <v>0</v>
      </c>
    </row>
    <row customHeight="1" ht="65.25">
      <c r="A12" s="818"/>
      <c r="C12" s="722"/>
      <c r="D12" s="773">
        <v>1</v>
      </c>
      <c r="E12" s="82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824" t="s">
        <v>324</v>
      </c>
      <c r="G12" s="777"/>
      <c r="Q12" s="709">
        <v>62</v>
      </c>
    </row>
    <row customHeight="1" ht="24">
      <c r="A13" s="818"/>
      <c r="C13" s="722"/>
      <c r="D13" s="773" t="s">
        <v>1203</v>
      </c>
      <c r="E13" s="82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824" t="s">
        <v>324</v>
      </c>
      <c r="G13" s="777"/>
      <c r="Q13" s="709">
        <v>23</v>
      </c>
    </row>
    <row customHeight="1" ht="14.699999999999998">
      <c r="A14" s="818"/>
      <c r="C14" s="722"/>
      <c r="D14" s="773" t="s">
        <v>1239</v>
      </c>
      <c r="E14" s="821"/>
      <c r="F14" s="839"/>
      <c r="G14" s="279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709">
        <v>14</v>
      </c>
    </row>
    <row customHeight="1" ht="15.75">
      <c r="A15" s="818"/>
      <c r="C15" s="722"/>
      <c r="D15" s="735"/>
      <c r="E15" s="975" t="s">
        <v>1300</v>
      </c>
      <c r="F15" s="827"/>
      <c r="G15" s="2797"/>
      <c r="Q15" s="709">
        <v>15</v>
      </c>
    </row>
    <row customHeight="1" ht="14.699999999999998">
      <c r="A16" s="818"/>
      <c r="C16" s="722"/>
      <c r="D16" s="773" t="s">
        <v>1205</v>
      </c>
      <c r="E16" s="82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824" t="s">
        <v>324</v>
      </c>
      <c r="G16" s="963"/>
      <c r="Q16" s="709">
        <v>14</v>
      </c>
    </row>
    <row customHeight="1" ht="14.699999999999998">
      <c r="A17" s="818"/>
      <c r="C17" s="722"/>
      <c r="D17" s="773" t="s">
        <v>1247</v>
      </c>
      <c r="E17" s="821"/>
      <c r="F17" s="1011"/>
      <c r="G17" s="279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709">
        <v>14</v>
      </c>
    </row>
    <row s="34580" customFormat="1" customHeight="1" ht="22.049999999999997">
      <c r="A18" s="969"/>
      <c r="B18" s="772"/>
      <c r="C18" s="933"/>
      <c r="D18" s="973"/>
      <c r="E18" s="975" t="s">
        <v>1301</v>
      </c>
      <c r="F18" s="964"/>
      <c r="G18" s="2797"/>
      <c r="I18" s="976"/>
      <c r="J18" s="976"/>
      <c r="Q18" s="968">
        <v>21</v>
      </c>
    </row>
    <row s="34580" customFormat="1" customHeight="1" ht="256.5" hidden="1">
      <c r="A19" s="969"/>
      <c r="B19" s="1043"/>
      <c r="C19" s="1002"/>
      <c r="D19" s="1510" t="s">
        <v>1207</v>
      </c>
      <c r="E19" s="1509" t="s">
        <v>1302</v>
      </c>
      <c r="F19" s="1011"/>
      <c r="G19" s="963" t="s">
        <v>1303</v>
      </c>
      <c r="I19" s="1126"/>
      <c r="J19" s="1126"/>
      <c r="Q19" s="1384">
        <v>0</v>
      </c>
    </row>
    <row s="34580" customFormat="1" customHeight="1" ht="14.699999999999998">
      <c r="A20" s="969"/>
      <c r="B20" s="772"/>
      <c r="C20" s="933"/>
      <c r="D20" s="1511">
        <v>2</v>
      </c>
      <c r="E20" s="956" t="s">
        <v>1304</v>
      </c>
      <c r="F20" s="824" t="s">
        <v>324</v>
      </c>
      <c r="G20" s="963"/>
      <c r="I20" s="976"/>
      <c r="J20" s="976"/>
      <c r="Q20" s="968">
        <v>14</v>
      </c>
    </row>
    <row s="34580" customFormat="1" customHeight="1" ht="18.75" hidden="1">
      <c r="A21" s="969"/>
      <c r="B21" s="772"/>
      <c r="C21" s="933"/>
      <c r="D21" s="959" t="s">
        <v>658</v>
      </c>
      <c r="E21" s="958"/>
      <c r="F21" s="957"/>
      <c r="G21" s="967"/>
      <c r="H21" s="960"/>
      <c r="I21" s="976"/>
      <c r="J21" s="976"/>
      <c r="Q21" s="968">
        <v>0</v>
      </c>
    </row>
    <row customHeight="1" ht="15.75">
      <c r="A22" s="818"/>
      <c r="C22" s="722"/>
      <c r="D22" s="735"/>
      <c r="E22" s="829" t="s">
        <v>340</v>
      </c>
      <c r="F22" s="964"/>
      <c r="G22" s="965"/>
      <c r="Q22" s="709">
        <v>15</v>
      </c>
    </row>
    <row s="34580" customFormat="1" customHeight="1" ht="22.5" hidden="1">
      <c r="A23" s="969"/>
      <c r="B23" s="1786"/>
      <c r="C23" s="1002"/>
      <c r="D23" s="2299" t="s">
        <v>102</v>
      </c>
      <c r="E23" s="823" t="s">
        <v>1305</v>
      </c>
      <c r="F23" s="2296" t="s">
        <v>324</v>
      </c>
      <c r="G23" s="971"/>
      <c r="I23" s="2250"/>
      <c r="J23" s="2250"/>
      <c r="Q23" s="2257">
        <v>0</v>
      </c>
    </row>
    <row s="34580" customFormat="1" customHeight="1" ht="14.25" hidden="1">
      <c r="A24" s="969"/>
      <c r="B24" s="1786"/>
      <c r="C24" s="1002"/>
      <c r="D24" s="2299" t="s">
        <v>730</v>
      </c>
      <c r="E24" s="2298" t="s">
        <v>1306</v>
      </c>
      <c r="F24" s="2296" t="s">
        <v>324</v>
      </c>
      <c r="G24" s="963"/>
      <c r="I24" s="2250"/>
      <c r="J24" s="2250"/>
      <c r="Q24" s="2257">
        <v>0</v>
      </c>
    </row>
    <row s="34580" customFormat="1" customHeight="1" ht="14.25" hidden="1">
      <c r="A25" s="969"/>
      <c r="B25" s="1786"/>
      <c r="C25" s="1002"/>
      <c r="D25" s="2299" t="s">
        <v>733</v>
      </c>
      <c r="E25" s="821"/>
      <c r="F25" s="1011"/>
      <c r="G25" s="2795" t="s">
        <v>1307</v>
      </c>
      <c r="I25" s="2250"/>
      <c r="J25" s="2250"/>
      <c r="Q25" s="2257">
        <v>0</v>
      </c>
    </row>
    <row s="34580" customFormat="1" customHeight="1" ht="22.5" hidden="1">
      <c r="A26" s="969"/>
      <c r="B26" s="1786"/>
      <c r="C26" s="1002"/>
      <c r="D26" s="973"/>
      <c r="E26" s="975" t="s">
        <v>1308</v>
      </c>
      <c r="F26" s="964"/>
      <c r="G26" s="2797"/>
      <c r="I26" s="2250"/>
      <c r="J26" s="2250"/>
      <c r="Q26" s="2257">
        <v>0</v>
      </c>
    </row>
    <row customHeight="1" ht="3">
      <c r="Q27" s="709">
        <v>3</v>
      </c>
    </row>
    <row customHeight="1" ht="14.699999999999998">
      <c r="D28" s="962"/>
      <c r="E28" s="961"/>
      <c r="F28" s="941"/>
      <c r="G28" s="941"/>
      <c r="H28" s="941"/>
      <c r="I28" s="941"/>
      <c r="J28" s="941"/>
      <c r="K28" s="941"/>
      <c r="L28" s="941"/>
      <c r="M28" s="941"/>
      <c r="N28" s="941"/>
      <c r="O28" s="941"/>
      <c r="P28" s="941"/>
      <c r="Q28" s="709">
        <v>14</v>
      </c>
    </row>
    <row customHeight="1" ht="14.699999999999998">
      <c r="D29" s="962"/>
      <c r="E29" s="1208"/>
      <c r="Q29" s="709">
        <v>14</v>
      </c>
    </row>
    <row customHeight="1" ht="14.699999999999998">
      <c r="Q30" s="709">
        <v>14</v>
      </c>
    </row>
    <row customHeight="1" ht="14.699999999999998">
      <c r="E31" s="1384"/>
      <c r="Q31" s="709">
        <v>14</v>
      </c>
    </row>
    <row customHeight="1" ht="22.5" hidden="1">
      <c r="A32" s="727" t="s">
        <v>82</v>
      </c>
      <c r="B32" s="772">
        <v>0</v>
      </c>
      <c r="C32" s="723">
        <v>3</v>
      </c>
      <c r="D32" s="709">
        <v>6</v>
      </c>
      <c r="E32" s="709">
        <v>64</v>
      </c>
      <c r="F32" s="709">
        <v>64</v>
      </c>
      <c r="G32" s="709">
        <v>140</v>
      </c>
      <c r="H32" s="709">
        <v>10</v>
      </c>
      <c r="I32" s="781">
        <v>10</v>
      </c>
      <c r="J32" s="781">
        <v>10</v>
      </c>
      <c r="K32" s="709">
        <v>10</v>
      </c>
      <c r="L32" s="709">
        <v>10</v>
      </c>
      <c r="M32" s="709">
        <v>10</v>
      </c>
      <c r="N32" s="709">
        <v>10</v>
      </c>
      <c r="O32" s="709">
        <v>10</v>
      </c>
      <c r="P32" s="709">
        <v>10</v>
      </c>
      <c r="Q32" s="709">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88468F-60C2-B562-937B-AF6C778472C9}"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35440" width="9.140625" hidden="1" customWidth="1"/>
    <col min="2" max="2" style="34657" width="9.140625" hidden="1" customWidth="1"/>
    <col min="3" max="3" style="35442" width="3.00390625" customWidth="1"/>
    <col min="4" max="4" style="34580" width="6.00390625" customWidth="1"/>
    <col min="5" max="5" style="34580" width="63.00390625" customWidth="1"/>
    <col min="6" max="6" style="34580" width="1.7109375" hidden="1" customWidth="1"/>
    <col min="7" max="8" style="34580" width="35.00390625" customWidth="1"/>
    <col min="9" max="9" style="34580" width="91.00390625" customWidth="1"/>
    <col min="10" max="10" style="34580" width="68.00390625" customWidth="1"/>
    <col min="11" max="12" style="34757" width="10.00390625" customWidth="1"/>
    <col min="13" max="13" style="34580" width="10.57421875" hidden="1"/>
  </cols>
  <sheetData>
    <row customHeight="1" ht="22.5" hidden="1">
      <c r="M1" s="709" t="s">
        <v>14</v>
      </c>
    </row>
    <row s="34580" customFormat="1" customHeight="1" ht="18.75" hidden="1">
      <c r="A2" s="2309"/>
      <c r="B2" s="1786"/>
      <c r="C2" s="2356" t="s">
        <v>103</v>
      </c>
      <c r="D2" s="2299"/>
      <c r="E2" s="825"/>
      <c r="F2" s="2296"/>
      <c r="G2" s="2296" t="s">
        <v>324</v>
      </c>
      <c r="H2" s="1787"/>
      <c r="K2" s="2250"/>
      <c r="L2" s="2250"/>
      <c r="M2" s="2257">
        <v>0</v>
      </c>
    </row>
    <row s="34580" customFormat="1" customHeight="1" ht="14.25" hidden="1">
      <c r="A3" s="1988"/>
      <c r="B3" s="1786"/>
      <c r="C3" s="970"/>
      <c r="K3" s="2250"/>
      <c r="L3" s="2250"/>
      <c r="M3" s="2257">
        <v>0</v>
      </c>
    </row>
    <row s="34580" customFormat="1" customHeight="1" ht="18.75" hidden="1">
      <c r="A4" s="2309"/>
      <c r="B4" s="1786"/>
      <c r="C4" s="2356" t="s">
        <v>103</v>
      </c>
      <c r="D4" s="2299"/>
      <c r="E4" s="831" t="s">
        <v>1309</v>
      </c>
      <c r="F4" s="2296"/>
      <c r="G4" s="883"/>
      <c r="H4" s="2296" t="s">
        <v>324</v>
      </c>
      <c r="K4" s="2250"/>
      <c r="L4" s="2250"/>
      <c r="M4" s="2257">
        <v>0</v>
      </c>
    </row>
    <row s="34580" customFormat="1" customHeight="1" ht="14.25" hidden="1">
      <c r="A5" s="1988"/>
      <c r="B5" s="1786"/>
      <c r="C5" s="970"/>
      <c r="K5" s="2250"/>
      <c r="L5" s="2250"/>
      <c r="M5" s="2257">
        <v>0</v>
      </c>
    </row>
    <row s="34580" customFormat="1" customHeight="1" ht="18.75" hidden="1">
      <c r="A6" s="2309"/>
      <c r="B6" s="1786"/>
      <c r="C6" s="2356" t="s">
        <v>103</v>
      </c>
      <c r="D6" s="2299"/>
      <c r="E6" s="832" t="s">
        <v>1310</v>
      </c>
      <c r="F6" s="2296"/>
      <c r="G6" s="883"/>
      <c r="H6" s="2296" t="s">
        <v>324</v>
      </c>
      <c r="K6" s="2250"/>
      <c r="L6" s="2250"/>
      <c r="M6" s="2257">
        <v>0</v>
      </c>
    </row>
    <row s="34580" customFormat="1" customHeight="1" ht="14.25" hidden="1">
      <c r="A7" s="1988"/>
      <c r="B7" s="1786"/>
      <c r="C7" s="970"/>
      <c r="K7" s="2250"/>
      <c r="L7" s="2250"/>
      <c r="M7" s="2257">
        <v>0</v>
      </c>
    </row>
    <row s="34580" customFormat="1" customHeight="1" ht="18.75" hidden="1">
      <c r="A8" s="2309"/>
      <c r="B8" s="1786"/>
      <c r="C8" s="2356" t="s">
        <v>103</v>
      </c>
      <c r="D8" s="2299"/>
      <c r="E8" s="832" t="s">
        <v>1311</v>
      </c>
      <c r="F8" s="2296"/>
      <c r="G8" s="883"/>
      <c r="H8" s="2296" t="s">
        <v>324</v>
      </c>
      <c r="K8" s="2250"/>
      <c r="L8" s="2250"/>
      <c r="M8" s="2257">
        <v>0</v>
      </c>
    </row>
    <row s="34580" customFormat="1" customHeight="1" ht="14.25" hidden="1">
      <c r="A9" s="1988"/>
      <c r="B9" s="1786"/>
      <c r="C9" s="970"/>
      <c r="K9" s="2250"/>
      <c r="L9" s="2250"/>
      <c r="M9" s="2257">
        <v>0</v>
      </c>
    </row>
    <row s="34580" customFormat="1" customHeight="1" ht="18.75" hidden="1">
      <c r="A10" s="2309"/>
      <c r="B10" s="1786"/>
      <c r="C10" s="2356" t="s">
        <v>103</v>
      </c>
      <c r="D10" s="2299"/>
      <c r="E10" s="832" t="s">
        <v>1312</v>
      </c>
      <c r="F10" s="2296"/>
      <c r="G10" s="2300"/>
      <c r="H10" s="2296" t="s">
        <v>324</v>
      </c>
      <c r="K10" s="2250"/>
      <c r="L10" s="2250" t="s">
        <v>1313</v>
      </c>
      <c r="M10" s="2257">
        <v>0</v>
      </c>
    </row>
    <row customHeight="1" ht="14.25" hidden="1">
      <c r="M11" s="709">
        <v>0</v>
      </c>
    </row>
    <row customHeight="1" ht="14.25" hidden="1">
      <c r="M12" s="709">
        <v>0</v>
      </c>
    </row>
    <row customHeight="1" ht="14.699999999999998">
      <c r="C13" s="722"/>
      <c r="D13" s="710"/>
      <c r="E13" s="710"/>
      <c r="F13" s="710"/>
      <c r="G13" s="710"/>
      <c r="H13" s="711"/>
      <c r="I13" s="711"/>
      <c r="M13" s="709">
        <v>14</v>
      </c>
    </row>
    <row customHeight="1" ht="29.25">
      <c r="C14" s="722"/>
      <c r="D14" s="308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081"/>
      <c r="F14" s="3081"/>
      <c r="G14" s="3081"/>
      <c r="H14" s="3082"/>
      <c r="J14" s="2257"/>
      <c r="M14" s="709">
        <v>28</v>
      </c>
    </row>
    <row s="34580" customFormat="1" customHeight="1" ht="14.699999999999998">
      <c r="A15" s="1988"/>
      <c r="B15" s="1786"/>
      <c r="C15" s="1002"/>
      <c r="D15" s="3083" t="str">
        <f>IF(org=0,"Не определено",org)</f>
        <v>АО "ДГК"</v>
      </c>
      <c r="E15" s="3084"/>
      <c r="F15" s="3084"/>
      <c r="G15" s="3084"/>
      <c r="H15" s="3085"/>
      <c r="J15" s="1478"/>
      <c r="K15" s="2250"/>
      <c r="L15" s="2250"/>
      <c r="M15" s="2257">
        <v>14</v>
      </c>
    </row>
    <row customHeight="1" ht="14.699999999999998">
      <c r="C16" s="722"/>
      <c r="D16" s="710"/>
      <c r="E16" s="721"/>
      <c r="F16" s="721"/>
      <c r="G16" s="721"/>
      <c r="H16" s="1378"/>
      <c r="I16" s="819"/>
      <c r="M16" s="709">
        <v>14</v>
      </c>
    </row>
    <row s="34580" customFormat="1" customHeight="1" ht="14.25" hidden="1">
      <c r="A17" s="1988"/>
      <c r="B17" s="1786"/>
      <c r="C17" s="1002"/>
      <c r="D17" s="989"/>
      <c r="E17" s="1015"/>
      <c r="F17" s="1015"/>
      <c r="G17" s="1015"/>
      <c r="H17" s="1378"/>
      <c r="I17" s="819"/>
      <c r="K17" s="2250"/>
      <c r="L17" s="2250"/>
      <c r="M17" s="2257">
        <v>0</v>
      </c>
    </row>
    <row customHeight="1" ht="22.049999999999997">
      <c r="C18" s="722"/>
      <c r="D18" s="2835" t="s">
        <v>318</v>
      </c>
      <c r="E18" s="2835"/>
      <c r="F18" s="2835"/>
      <c r="G18" s="2835"/>
      <c r="H18" s="2835"/>
      <c r="I18" s="3015" t="s">
        <v>319</v>
      </c>
      <c r="M18" s="709">
        <v>21</v>
      </c>
    </row>
    <row customHeight="1" ht="22.049999999999997">
      <c r="C19" s="722"/>
      <c r="D19" s="731" t="s">
        <v>88</v>
      </c>
      <c r="E19" s="734" t="s">
        <v>320</v>
      </c>
      <c r="F19" s="734"/>
      <c r="G19" s="734" t="s">
        <v>321</v>
      </c>
      <c r="H19" s="734" t="s">
        <v>408</v>
      </c>
      <c r="I19" s="3015"/>
      <c r="M19" s="709">
        <v>21</v>
      </c>
    </row>
    <row customHeight="1" ht="12" hidden="1">
      <c r="C20" s="722"/>
      <c r="D20" s="713"/>
      <c r="E20" s="713"/>
      <c r="F20" s="713"/>
      <c r="G20" s="713"/>
      <c r="H20" s="713"/>
      <c r="I20" s="713"/>
      <c r="M20" s="709">
        <v>0</v>
      </c>
    </row>
    <row customHeight="1" ht="14.699999999999998">
      <c r="A21" s="2309"/>
      <c r="C21" s="722"/>
      <c r="D21" s="773">
        <v>1</v>
      </c>
      <c r="E21" s="3087" t="s">
        <v>1314</v>
      </c>
      <c r="F21" s="3087"/>
      <c r="G21" s="3087"/>
      <c r="H21" s="3087"/>
      <c r="I21" s="834"/>
      <c r="M21" s="709">
        <v>14</v>
      </c>
    </row>
    <row customHeight="1" ht="21">
      <c r="A22" s="2309"/>
      <c r="C22" s="722"/>
      <c r="D22" s="773" t="s">
        <v>1203</v>
      </c>
      <c r="E22" s="820" t="s">
        <v>1315</v>
      </c>
      <c r="F22" s="824"/>
      <c r="G22" s="2363"/>
      <c r="H22" s="824" t="s">
        <v>324</v>
      </c>
      <c r="I22" s="777" t="s">
        <v>1316</v>
      </c>
      <c r="M22" s="709">
        <v>20</v>
      </c>
    </row>
    <row customHeight="1" ht="60">
      <c r="A23" s="2309"/>
      <c r="C23" s="722"/>
      <c r="D23" s="773" t="s">
        <v>1205</v>
      </c>
      <c r="E23" s="820" t="s">
        <v>1317</v>
      </c>
      <c r="F23" s="824"/>
      <c r="G23" s="883"/>
      <c r="H23" s="839"/>
      <c r="I23" s="884" t="s">
        <v>1318</v>
      </c>
      <c r="M23" s="709">
        <v>57</v>
      </c>
    </row>
    <row customHeight="1" ht="14.699999999999998">
      <c r="A24" s="2309"/>
      <c r="B24" s="772">
        <v>3</v>
      </c>
      <c r="C24" s="722"/>
      <c r="D24" s="773">
        <v>2</v>
      </c>
      <c r="E24" s="84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824"/>
      <c r="G24" s="824" t="s">
        <v>324</v>
      </c>
      <c r="H24" s="839"/>
      <c r="I24" s="885" t="s">
        <v>653</v>
      </c>
      <c r="M24" s="709">
        <v>14</v>
      </c>
    </row>
    <row customHeight="1" ht="48.29999999999999">
      <c r="A25" s="2309"/>
      <c r="C25" s="722"/>
      <c r="D25" s="773">
        <v>3</v>
      </c>
      <c r="E25" s="308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086"/>
      <c r="G25" s="3086"/>
      <c r="H25" s="3086"/>
      <c r="I25" s="882"/>
      <c r="M25" s="709">
        <v>46</v>
      </c>
    </row>
    <row customHeight="1" ht="14.699999999999998">
      <c r="A26" s="2309"/>
      <c r="C26" s="722"/>
      <c r="D26" s="773" t="s">
        <v>342</v>
      </c>
      <c r="E26" s="825"/>
      <c r="F26" s="824"/>
      <c r="G26" s="824" t="s">
        <v>324</v>
      </c>
      <c r="H26" s="839"/>
      <c r="I26" s="2795" t="s">
        <v>1319</v>
      </c>
      <c r="M26" s="709">
        <v>14</v>
      </c>
    </row>
    <row customHeight="1" ht="15.75">
      <c r="A27" s="2309" t="s">
        <v>118</v>
      </c>
      <c r="C27" s="722"/>
      <c r="D27" s="735"/>
      <c r="E27" s="829" t="s">
        <v>340</v>
      </c>
      <c r="F27" s="830"/>
      <c r="G27" s="830"/>
      <c r="H27" s="827"/>
      <c r="I27" s="2797"/>
      <c r="M27" s="709">
        <v>15</v>
      </c>
    </row>
    <row customHeight="1" ht="39.75">
      <c r="A28" s="2309"/>
      <c r="B28" s="772">
        <v>3</v>
      </c>
      <c r="C28" s="722"/>
      <c r="D28" s="773">
        <v>4</v>
      </c>
      <c r="E28" s="308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086"/>
      <c r="G28" s="3086"/>
      <c r="H28" s="3086"/>
      <c r="I28" s="882"/>
      <c r="M28" s="709">
        <v>38</v>
      </c>
    </row>
    <row customHeight="1" ht="21">
      <c r="A29" s="2309"/>
      <c r="C29" s="722"/>
      <c r="D29" s="773" t="s">
        <v>775</v>
      </c>
      <c r="E29" s="831" t="s">
        <v>1309</v>
      </c>
      <c r="F29" s="824"/>
      <c r="G29" s="883"/>
      <c r="H29" s="824" t="s">
        <v>324</v>
      </c>
      <c r="I29" s="2795" t="s">
        <v>1320</v>
      </c>
      <c r="M29" s="709">
        <v>20</v>
      </c>
    </row>
    <row customHeight="1" ht="15.75">
      <c r="A30" s="2309" t="s">
        <v>102</v>
      </c>
      <c r="C30" s="722"/>
      <c r="D30" s="735"/>
      <c r="E30" s="829" t="s">
        <v>340</v>
      </c>
      <c r="F30" s="830"/>
      <c r="G30" s="830"/>
      <c r="H30" s="827"/>
      <c r="I30" s="2797"/>
      <c r="M30" s="709">
        <v>15</v>
      </c>
    </row>
    <row customHeight="1" ht="31.5">
      <c r="A31" s="2309"/>
      <c r="B31" s="772">
        <v>3</v>
      </c>
      <c r="C31" s="722"/>
      <c r="D31" s="773">
        <v>5</v>
      </c>
      <c r="E31" s="308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086"/>
      <c r="G31" s="3086"/>
      <c r="H31" s="3086"/>
      <c r="I31" s="882"/>
      <c r="M31" s="709">
        <v>30</v>
      </c>
    </row>
    <row customHeight="1" ht="27.299999999999997">
      <c r="A32" s="2309"/>
      <c r="C32" s="722"/>
      <c r="D32" s="773" t="s">
        <v>331</v>
      </c>
      <c r="E32" s="302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29"/>
      <c r="G32" s="3029"/>
      <c r="H32" s="3029"/>
      <c r="I32" s="882"/>
      <c r="M32" s="709">
        <v>26</v>
      </c>
    </row>
    <row customHeight="1" ht="14.699999999999998">
      <c r="A33" s="2309"/>
      <c r="C33" s="722"/>
      <c r="D33" s="773" t="s">
        <v>1321</v>
      </c>
      <c r="E33" s="832" t="s">
        <v>1310</v>
      </c>
      <c r="F33" s="824"/>
      <c r="G33" s="883"/>
      <c r="H33" s="824" t="s">
        <v>324</v>
      </c>
      <c r="I33" s="2795" t="s">
        <v>1322</v>
      </c>
      <c r="M33" s="709">
        <v>14</v>
      </c>
    </row>
    <row customHeight="1" ht="15.75">
      <c r="A34" s="2309" t="s">
        <v>90</v>
      </c>
      <c r="C34" s="722"/>
      <c r="D34" s="735"/>
      <c r="E34" s="830" t="s">
        <v>340</v>
      </c>
      <c r="F34" s="826"/>
      <c r="G34" s="826"/>
      <c r="H34" s="827"/>
      <c r="I34" s="2797"/>
      <c r="M34" s="709">
        <v>15</v>
      </c>
    </row>
    <row customHeight="1" ht="25.2">
      <c r="A35" s="2309"/>
      <c r="C35" s="722"/>
      <c r="D35" s="773" t="s">
        <v>903</v>
      </c>
      <c r="E35" s="302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29"/>
      <c r="G35" s="3029"/>
      <c r="H35" s="3029"/>
      <c r="I35" s="882"/>
      <c r="M35" s="709">
        <v>24</v>
      </c>
    </row>
    <row customHeight="1" ht="14.699999999999998">
      <c r="A36" s="2309"/>
      <c r="C36" s="722"/>
      <c r="D36" s="773" t="s">
        <v>1323</v>
      </c>
      <c r="E36" s="832" t="s">
        <v>1311</v>
      </c>
      <c r="F36" s="824"/>
      <c r="G36" s="883"/>
      <c r="H36" s="824" t="s">
        <v>324</v>
      </c>
      <c r="I36" s="2769" t="s">
        <v>1324</v>
      </c>
      <c r="M36" s="709">
        <v>14</v>
      </c>
    </row>
    <row customHeight="1" ht="15.75">
      <c r="A37" s="2309" t="s">
        <v>91</v>
      </c>
      <c r="C37" s="722"/>
      <c r="D37" s="735"/>
      <c r="E37" s="830" t="s">
        <v>340</v>
      </c>
      <c r="F37" s="826"/>
      <c r="G37" s="826"/>
      <c r="H37" s="827"/>
      <c r="I37" s="2769"/>
      <c r="M37" s="709">
        <v>15</v>
      </c>
    </row>
    <row customHeight="1" ht="27.299999999999997">
      <c r="A38" s="2309"/>
      <c r="C38" s="722"/>
      <c r="D38" s="773" t="s">
        <v>904</v>
      </c>
      <c r="E38" s="302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29"/>
      <c r="G38" s="3029"/>
      <c r="H38" s="3029"/>
      <c r="I38" s="882"/>
      <c r="M38" s="709">
        <v>26</v>
      </c>
    </row>
    <row customHeight="1" ht="14.699999999999998">
      <c r="A39" s="2309"/>
      <c r="C39" s="722"/>
      <c r="D39" s="773" t="s">
        <v>905</v>
      </c>
      <c r="E39" s="832" t="s">
        <v>1312</v>
      </c>
      <c r="F39" s="824"/>
      <c r="G39" s="833"/>
      <c r="H39" s="824" t="s">
        <v>324</v>
      </c>
      <c r="I39" s="2795" t="s">
        <v>1325</v>
      </c>
      <c r="L39" s="781" t="s">
        <v>1313</v>
      </c>
      <c r="M39" s="709">
        <v>14</v>
      </c>
    </row>
    <row customHeight="1" ht="15.75">
      <c r="A40" s="2309" t="s">
        <v>119</v>
      </c>
      <c r="C40" s="722"/>
      <c r="D40" s="735"/>
      <c r="E40" s="830" t="s">
        <v>340</v>
      </c>
      <c r="F40" s="826"/>
      <c r="G40" s="826"/>
      <c r="H40" s="827"/>
      <c r="I40" s="2797"/>
      <c r="M40" s="709">
        <v>15</v>
      </c>
    </row>
    <row s="37077" customFormat="1" customHeight="1" ht="3">
      <c r="A41" s="2309"/>
      <c r="K41" s="822"/>
      <c r="L41" s="822"/>
      <c r="M41" s="766">
        <v>3</v>
      </c>
    </row>
    <row customHeight="1" ht="26.25">
      <c r="D42" s="2307" t="s">
        <v>825</v>
      </c>
      <c r="E42" s="291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911"/>
      <c r="G42" s="2911"/>
      <c r="H42" s="2911"/>
      <c r="I42" s="2911"/>
      <c r="M42" s="709">
        <v>25</v>
      </c>
    </row>
    <row customHeight="1" ht="22.5" hidden="1">
      <c r="A43" s="1988" t="s">
        <v>82</v>
      </c>
      <c r="B43" s="772">
        <v>0</v>
      </c>
      <c r="C43" s="723">
        <v>3</v>
      </c>
      <c r="D43" s="709">
        <v>6</v>
      </c>
      <c r="E43" s="709">
        <v>63</v>
      </c>
      <c r="F43" s="709">
        <v>0</v>
      </c>
      <c r="G43" s="709">
        <v>35</v>
      </c>
      <c r="H43" s="709">
        <v>35</v>
      </c>
      <c r="I43" s="709">
        <v>91</v>
      </c>
      <c r="J43" s="709">
        <v>68</v>
      </c>
      <c r="K43" s="781">
        <v>10</v>
      </c>
      <c r="L43" s="781">
        <v>10</v>
      </c>
      <c r="M43" s="709">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8BCE3F-1637-58F6-14DA-3C90B24E484B}"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37116" width="25.140625" hidden="1" customWidth="1"/>
    <col min="3" max="3" style="37117" width="9.140625" hidden="1" customWidth="1"/>
    <col min="4" max="4" style="35442" width="3.00390625" customWidth="1"/>
    <col min="5" max="5" style="34580" width="6.00390625" customWidth="1"/>
    <col min="6" max="6" style="34580" width="46.7109375" customWidth="1"/>
    <col min="7" max="7" style="34580" width="35.00390625" customWidth="1"/>
    <col min="8" max="8" style="34580" width="3.00390625" customWidth="1"/>
    <col min="9" max="10" style="34580" width="11.00390625" customWidth="1"/>
    <col min="11" max="12" style="34580" width="35.00390625" customWidth="1"/>
    <col min="13" max="13" style="34580" width="84.00390625" customWidth="1"/>
    <col min="14" max="14" style="34580" width="10.00390625" customWidth="1"/>
    <col min="15" max="16" style="34757" width="10.00390625" customWidth="1"/>
    <col min="17" max="33" style="34580" width="10.00390625" customWidth="1"/>
    <col min="34" max="34" style="34580" width="10.57421875" hidden="1"/>
  </cols>
  <sheetData>
    <row s="34580" customFormat="1" customHeight="1" ht="22.5" hidden="1">
      <c r="A1" s="2405"/>
      <c r="B1" s="2405"/>
      <c r="C1" s="995"/>
      <c r="D1" s="970"/>
      <c r="N1" s="2262">
        <f>_xlfn.IFERROR(MATCH("метод экономически обоснованных расходов (затрат)",OFFER_METHOD,0),0)</f>
        <v>0</v>
      </c>
      <c r="O1" s="2250"/>
      <c r="P1" s="2250"/>
      <c r="T1" s="1457"/>
      <c r="AG1" s="881"/>
      <c r="AH1" s="2257" t="s">
        <v>14</v>
      </c>
    </row>
    <row s="34580" customFormat="1" customHeight="1" ht="18.75" hidden="1">
      <c r="A2" s="2406" t="s">
        <v>175</v>
      </c>
      <c r="B2" s="2406" t="s">
        <v>176</v>
      </c>
      <c r="C2" s="995"/>
      <c r="D2" s="970"/>
      <c r="E2" s="1657"/>
      <c r="F2" s="1657"/>
      <c r="G2" s="3053" t="str">
        <f>INDEX(PT_DIFFERENTIATION_NTAR,MATCH(B2,PT_DIFFERENTIATION_NTAR_ID,0))</f>
        <v/>
      </c>
      <c r="H2" s="2490"/>
      <c r="I2" s="2365"/>
      <c r="J2" s="2399"/>
      <c r="K2" s="2491"/>
      <c r="L2" s="2490" t="s">
        <v>324</v>
      </c>
      <c r="M2" s="2501"/>
      <c r="N2" s="960"/>
      <c r="O2" s="2250"/>
      <c r="P2" s="2250"/>
      <c r="AH2" s="2257">
        <v>0</v>
      </c>
    </row>
    <row s="34580" customFormat="1" customHeight="1" ht="18.75" hidden="1">
      <c r="A3" s="2406"/>
      <c r="B3" s="2406"/>
      <c r="C3" s="995" t="s">
        <v>1326</v>
      </c>
      <c r="D3" s="970"/>
      <c r="E3" s="1657"/>
      <c r="F3" s="1657"/>
      <c r="G3" s="3053"/>
      <c r="H3" s="2126"/>
      <c r="I3" s="1277" t="s">
        <v>1327</v>
      </c>
      <c r="J3" s="1197"/>
      <c r="K3" s="2126"/>
      <c r="L3" s="840"/>
      <c r="M3" s="2501"/>
      <c r="N3" s="960"/>
      <c r="O3" s="2250"/>
      <c r="P3" s="2250"/>
      <c r="AH3" s="2257">
        <v>0</v>
      </c>
    </row>
    <row s="34580" customFormat="1" customHeight="1" ht="14.25" hidden="1">
      <c r="A4" s="2405"/>
      <c r="B4" s="2405"/>
      <c r="C4" s="995"/>
      <c r="D4" s="970"/>
      <c r="N4" s="2262">
        <f>_xlfn.IFERROR(MATCH("метод экономически обоснованных расходов (затрат)",OFFER_METHOD,0),0)</f>
        <v>0</v>
      </c>
      <c r="O4" s="2250"/>
      <c r="P4" s="2250"/>
      <c r="T4" s="1457"/>
      <c r="AG4" s="881"/>
      <c r="AH4" s="2257">
        <v>0</v>
      </c>
    </row>
    <row s="34580" customFormat="1" customHeight="1" ht="18.75" hidden="1">
      <c r="A5" s="2406" t="s">
        <v>175</v>
      </c>
      <c r="B5" s="2406" t="s">
        <v>176</v>
      </c>
      <c r="C5" s="995"/>
      <c r="D5" s="970"/>
      <c r="E5" s="1657"/>
      <c r="F5" s="1657"/>
      <c r="G5" s="3053" t="str">
        <f>INDEX(PT_DIFFERENTIATION_NTAR,MATCH(B5,PT_DIFFERENTIATION_NTAR_ID,0))</f>
        <v/>
      </c>
      <c r="H5" s="2490"/>
      <c r="I5" s="2365"/>
      <c r="J5" s="2399"/>
      <c r="K5" s="2404"/>
      <c r="L5" s="2490" t="s">
        <v>324</v>
      </c>
      <c r="M5" s="2501"/>
      <c r="N5" s="960"/>
      <c r="O5" s="2250"/>
      <c r="P5" s="2250"/>
      <c r="AH5" s="2257">
        <v>0</v>
      </c>
    </row>
    <row s="34580" customFormat="1" customHeight="1" ht="18.75" hidden="1">
      <c r="A6" s="2406"/>
      <c r="B6" s="2406"/>
      <c r="C6" s="995" t="s">
        <v>1328</v>
      </c>
      <c r="D6" s="970"/>
      <c r="E6" s="1657"/>
      <c r="F6" s="1657"/>
      <c r="G6" s="3053"/>
      <c r="H6" s="2126"/>
      <c r="I6" s="1277" t="s">
        <v>1327</v>
      </c>
      <c r="J6" s="1197"/>
      <c r="K6" s="2126"/>
      <c r="L6" s="840"/>
      <c r="M6" s="2501"/>
      <c r="N6" s="960"/>
      <c r="O6" s="2250"/>
      <c r="P6" s="2250"/>
      <c r="AH6" s="2257">
        <v>0</v>
      </c>
    </row>
    <row s="34580" customFormat="1" customHeight="1" ht="14.25" hidden="1">
      <c r="A7" s="2405"/>
      <c r="B7" s="2405"/>
      <c r="C7" s="995"/>
      <c r="D7" s="970"/>
      <c r="N7" s="2262">
        <f>_xlfn.IFERROR(MATCH("метод экономически обоснованных расходов (затрат)",OFFER_METHOD,0),0)</f>
        <v>0</v>
      </c>
      <c r="O7" s="2250"/>
      <c r="P7" s="2250"/>
      <c r="T7" s="1457"/>
      <c r="AG7" s="881"/>
      <c r="AH7" s="2257">
        <v>0</v>
      </c>
    </row>
    <row s="34580" customFormat="1" customHeight="1" ht="56.25" hidden="1">
      <c r="A8" s="2406"/>
      <c r="B8" s="2406"/>
      <c r="C8" s="995"/>
      <c r="D8" s="970"/>
      <c r="E8" s="1657"/>
      <c r="F8" s="1657"/>
      <c r="G8" s="1657"/>
      <c r="H8" s="2397"/>
      <c r="I8" s="2365"/>
      <c r="J8" s="2399"/>
      <c r="K8" s="2491"/>
      <c r="L8" s="2397" t="s">
        <v>324</v>
      </c>
      <c r="M8" s="2501"/>
      <c r="N8" s="960"/>
      <c r="O8" s="2250"/>
      <c r="P8" s="2250"/>
      <c r="AH8" s="2257">
        <v>0</v>
      </c>
    </row>
    <row customHeight="1" ht="14.25" hidden="1">
      <c r="T9" s="1023"/>
      <c r="AG9" s="881"/>
      <c r="AH9" s="1000">
        <v>0</v>
      </c>
    </row>
    <row s="34580" customFormat="1" customHeight="1" ht="56.25" hidden="1">
      <c r="A10" s="2406"/>
      <c r="B10" s="2406"/>
      <c r="C10" s="995"/>
      <c r="D10" s="970"/>
      <c r="E10" s="1657"/>
      <c r="F10" s="1657"/>
      <c r="G10" s="1657"/>
      <c r="H10" s="2396"/>
      <c r="I10" s="2365"/>
      <c r="J10" s="2399"/>
      <c r="K10" s="2404"/>
      <c r="L10" s="2397" t="s">
        <v>324</v>
      </c>
      <c r="M10" s="2501"/>
      <c r="N10" s="960"/>
      <c r="O10" s="2250"/>
      <c r="P10" s="2250"/>
      <c r="AH10" s="2257">
        <v>0</v>
      </c>
    </row>
    <row customHeight="1" ht="14.25" hidden="1">
      <c r="AH11" s="1000">
        <v>0</v>
      </c>
    </row>
    <row customHeight="1" ht="14.25" hidden="1">
      <c r="AH12" s="1000">
        <v>0</v>
      </c>
    </row>
    <row customHeight="1" ht="6.3">
      <c r="D13" s="1002"/>
      <c r="E13" s="989"/>
      <c r="F13" s="989"/>
      <c r="G13" s="989"/>
      <c r="H13" s="989"/>
      <c r="I13" s="989"/>
      <c r="J13" s="989"/>
      <c r="K13" s="989"/>
      <c r="L13" s="711"/>
      <c r="M13" s="711"/>
      <c r="AH13" s="1000">
        <v>6</v>
      </c>
    </row>
    <row customHeight="1" ht="14.699999999999998">
      <c r="D14" s="1002"/>
      <c r="E14" s="309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091"/>
      <c r="G14" s="3091"/>
      <c r="H14" s="3091"/>
      <c r="I14" s="3091"/>
      <c r="J14" s="3091"/>
      <c r="K14" s="3091"/>
      <c r="L14" s="3091"/>
      <c r="M14" s="846"/>
      <c r="AH14" s="1000">
        <v>14</v>
      </c>
    </row>
    <row customHeight="1" ht="6.3">
      <c r="D15" s="1002"/>
      <c r="E15" s="989"/>
      <c r="F15" s="1015"/>
      <c r="G15" s="1015"/>
      <c r="H15" s="1015"/>
      <c r="I15" s="1015"/>
      <c r="J15" s="1015"/>
      <c r="K15" s="1015"/>
      <c r="L15" s="948"/>
      <c r="M15" s="819"/>
      <c r="AH15" s="1000">
        <v>6</v>
      </c>
    </row>
    <row customHeight="1" ht="24">
      <c r="D16" s="1002"/>
      <c r="E16" s="989"/>
      <c r="F16" s="931" t="str">
        <f>"Дата подачи заявления об "&amp;IF(TITLE_DATE_PR_CHANGE="","утверждении","изменении")&amp;" тарифов"</f>
        <v>Дата подачи заявления об утверждении тарифов</v>
      </c>
      <c r="G16" s="2890" t="str">
        <f>IF(TITLE_DATE_PR_CHANGE="",IF(TITLE_DATE_PR="","",TITLE_DATE_PR),TITLE_DATE_PR_CHANGE)</f>
        <v/>
      </c>
      <c r="H16" s="2890"/>
      <c r="I16" s="2890"/>
      <c r="J16" s="2890"/>
      <c r="K16" s="2890"/>
      <c r="L16" s="2890"/>
      <c r="M16" s="1024"/>
      <c r="N16" s="952"/>
      <c r="AH16" s="1000">
        <v>23</v>
      </c>
    </row>
    <row customHeight="1" ht="24">
      <c r="D17" s="1002"/>
      <c r="E17" s="989"/>
      <c r="F17" s="931" t="str">
        <f>"Номер подачи заявления об "&amp;IF(TITLE_DATE_PR_CHANGE="","утверждении","изменении")&amp;" тарифов"</f>
        <v>Номер подачи заявления об утверждении тарифов</v>
      </c>
      <c r="G17" s="2877" t="str">
        <f>IF(TITLE_NUMBER_PR_CHANGE="",IF(TITLE_NUMBER_PR="","",TITLE_NUMBER_PR),TITLE_NUMBER_PR_CHANGE)</f>
        <v/>
      </c>
      <c r="H17" s="2877"/>
      <c r="I17" s="2877"/>
      <c r="J17" s="2877"/>
      <c r="K17" s="2877"/>
      <c r="L17" s="2877"/>
      <c r="M17" s="1024"/>
      <c r="N17" s="952"/>
      <c r="AH17" s="1000">
        <v>23</v>
      </c>
    </row>
    <row customHeight="1" ht="14.699999999999998">
      <c r="D18" s="1002"/>
      <c r="E18" s="989"/>
      <c r="F18" s="1015"/>
      <c r="G18" s="1015"/>
      <c r="H18" s="1015"/>
      <c r="I18" s="1015"/>
      <c r="J18" s="1015"/>
      <c r="K18" s="1015"/>
      <c r="L18" s="1378"/>
      <c r="M18" s="819"/>
      <c r="AH18" s="1000">
        <v>14</v>
      </c>
    </row>
    <row customHeight="1" ht="22.049999999999997">
      <c r="D19" s="1002"/>
      <c r="E19" s="2835" t="s">
        <v>318</v>
      </c>
      <c r="F19" s="2835"/>
      <c r="G19" s="2835"/>
      <c r="H19" s="2835"/>
      <c r="I19" s="2835"/>
      <c r="J19" s="2835"/>
      <c r="K19" s="2835"/>
      <c r="L19" s="2835"/>
      <c r="M19" s="3015" t="s">
        <v>319</v>
      </c>
      <c r="AH19" s="1000">
        <v>21</v>
      </c>
    </row>
    <row customHeight="1" ht="22.049999999999997">
      <c r="D20" s="1002"/>
      <c r="E20" s="2903" t="s">
        <v>88</v>
      </c>
      <c r="F20" s="2850" t="s">
        <v>142</v>
      </c>
      <c r="G20" s="2850" t="s">
        <v>143</v>
      </c>
      <c r="H20" s="3012" t="s">
        <v>1329</v>
      </c>
      <c r="I20" s="3013"/>
      <c r="J20" s="3059"/>
      <c r="K20" s="2850" t="s">
        <v>321</v>
      </c>
      <c r="L20" s="2850" t="s">
        <v>408</v>
      </c>
      <c r="M20" s="3015"/>
      <c r="AH20" s="1000">
        <v>21</v>
      </c>
    </row>
    <row customHeight="1" ht="22.049999999999997">
      <c r="D21" s="1002"/>
      <c r="E21" s="2905"/>
      <c r="F21" s="2851"/>
      <c r="G21" s="2851"/>
      <c r="H21" s="2844" t="s">
        <v>1330</v>
      </c>
      <c r="I21" s="2846"/>
      <c r="J21" s="734" t="s">
        <v>1331</v>
      </c>
      <c r="K21" s="2851"/>
      <c r="L21" s="2851"/>
      <c r="M21" s="3015"/>
      <c r="AH21" s="1000">
        <v>21</v>
      </c>
    </row>
    <row customHeight="1" ht="12.75">
      <c r="D22" s="1002"/>
      <c r="E22" s="907"/>
      <c r="F22" s="907"/>
      <c r="G22" s="907"/>
      <c r="H22" s="3093"/>
      <c r="I22" s="3093"/>
      <c r="J22" s="907"/>
      <c r="K22" s="907"/>
      <c r="L22" s="907"/>
      <c r="M22" s="907"/>
      <c r="AH22" s="1000">
        <v>12</v>
      </c>
    </row>
    <row customHeight="1" ht="19.95">
      <c r="A23" s="2406"/>
      <c r="B23" s="2406"/>
      <c r="D23" s="1002"/>
      <c r="E23" s="2492" t="s">
        <v>118</v>
      </c>
      <c r="F23" s="3094" t="str">
        <f>"Предлагаемый метод регулирования"&amp;IF(TEMPLATE_SPHERE="HEAT"," в сфере "&amp;TEMPLATE_SPHERE_RUS,"")</f>
        <v>Предлагаемый метод регулирования в сфере теплоснабжения</v>
      </c>
      <c r="G23" s="3095"/>
      <c r="H23" s="3087"/>
      <c r="I23" s="3087"/>
      <c r="J23" s="3087"/>
      <c r="K23" s="3095" t="s">
        <v>324</v>
      </c>
      <c r="L23" s="3087"/>
      <c r="M23" s="2395"/>
      <c r="N23" s="960"/>
      <c r="AH23" s="1000">
        <v>19</v>
      </c>
    </row>
    <row customHeight="1" ht="60.75" hidden="1">
      <c r="A24" s="2406" t="s">
        <v>175</v>
      </c>
      <c r="B24" s="2406" t="s">
        <v>176</v>
      </c>
      <c r="D24" s="3092"/>
      <c r="E24" s="2830"/>
      <c r="F24" s="309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53" t="str">
        <f>INDEX(PT_DIFFERENTIATION_NTAR,MATCH(B24,PT_DIFFERENTIATION_NTAR_ID,0))</f>
        <v/>
      </c>
      <c r="H24" s="2488"/>
      <c r="I24" s="2365"/>
      <c r="J24" s="2399"/>
      <c r="K24" s="2491"/>
      <c r="L24" s="2394" t="s">
        <v>324</v>
      </c>
      <c r="M24" s="27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960"/>
      <c r="AH24" s="1000">
        <v>0</v>
      </c>
    </row>
    <row s="34580" customFormat="1" customHeight="1" ht="18.75" hidden="1">
      <c r="A25" s="2406"/>
      <c r="B25" s="2406"/>
      <c r="C25" s="995" t="s">
        <v>1326</v>
      </c>
      <c r="D25" s="3092"/>
      <c r="E25" s="2830"/>
      <c r="F25" s="3096"/>
      <c r="G25" s="3053"/>
      <c r="H25" s="2126"/>
      <c r="I25" s="1277" t="s">
        <v>1327</v>
      </c>
      <c r="J25" s="1197"/>
      <c r="K25" s="2126"/>
      <c r="L25" s="840"/>
      <c r="M25" s="2796"/>
      <c r="N25" s="960"/>
      <c r="O25" s="2250"/>
      <c r="P25" s="2250"/>
      <c r="AH25" s="2257">
        <v>0</v>
      </c>
    </row>
    <row customHeight="1" ht="0.75" hidden="1">
      <c r="A26" s="2406"/>
      <c r="B26" s="2406"/>
      <c r="C26" s="995" t="s">
        <v>1332</v>
      </c>
      <c r="D26" s="3092"/>
      <c r="E26" s="2830"/>
      <c r="F26" s="3009"/>
      <c r="G26" s="1026"/>
      <c r="H26" s="2126"/>
      <c r="I26" s="1021"/>
      <c r="J26" s="975"/>
      <c r="K26" s="2126"/>
      <c r="L26" s="827"/>
      <c r="M26" s="2796"/>
      <c r="N26" s="960"/>
      <c r="AH26" s="1000">
        <v>0</v>
      </c>
    </row>
    <row s="34580" customFormat="1" customHeight="1" ht="45" hidden="1">
      <c r="A27" s="2406" t="s">
        <v>180</v>
      </c>
      <c r="B27" s="2406" t="s">
        <v>181</v>
      </c>
      <c r="C27" s="995"/>
      <c r="D27" s="3088"/>
      <c r="E27" s="3089"/>
      <c r="F27" s="3090" t="str">
        <f>INDEX(PT_DIFFERENTIATION_VTAR,MATCH(A27,PT_DIFFERENTIATION_VTAR_ID,0))</f>
        <v/>
      </c>
      <c r="G27" s="3053" t="str">
        <f>INDEX(PT_DIFFERENTIATION_NTAR,MATCH(B27,PT_DIFFERENTIATION_NTAR_ID,0))</f>
        <v/>
      </c>
      <c r="H27" s="2488"/>
      <c r="I27" s="2365"/>
      <c r="J27" s="2399"/>
      <c r="K27" s="2491"/>
      <c r="L27" s="2488" t="s">
        <v>324</v>
      </c>
      <c r="M27" s="2796"/>
      <c r="N27" s="960"/>
      <c r="O27" s="2250"/>
      <c r="P27" s="2250"/>
      <c r="AH27" s="2257">
        <v>0</v>
      </c>
    </row>
    <row s="34580" customFormat="1" customHeight="1" ht="18.75" hidden="1">
      <c r="A28" s="2406"/>
      <c r="B28" s="2406"/>
      <c r="C28" s="995" t="s">
        <v>1326</v>
      </c>
      <c r="D28" s="3088"/>
      <c r="E28" s="3089"/>
      <c r="F28" s="3090"/>
      <c r="G28" s="3053"/>
      <c r="H28" s="2126"/>
      <c r="I28" s="1277" t="s">
        <v>1327</v>
      </c>
      <c r="J28" s="1197"/>
      <c r="K28" s="2126"/>
      <c r="L28" s="840"/>
      <c r="M28" s="2796"/>
      <c r="N28" s="960"/>
      <c r="O28" s="2250"/>
      <c r="P28" s="2250"/>
      <c r="AH28" s="2257">
        <v>0</v>
      </c>
    </row>
    <row s="34580" customFormat="1" customHeight="1" ht="0.75" hidden="1">
      <c r="A29" s="2406"/>
      <c r="B29" s="2406"/>
      <c r="C29" s="995" t="s">
        <v>1332</v>
      </c>
      <c r="D29" s="3088"/>
      <c r="E29" s="2830"/>
      <c r="F29" s="3009"/>
      <c r="G29" s="1026"/>
      <c r="H29" s="2126"/>
      <c r="I29" s="1277"/>
      <c r="J29" s="1197"/>
      <c r="K29" s="2126"/>
      <c r="L29" s="840"/>
      <c r="M29" s="2796"/>
      <c r="N29" s="960"/>
      <c r="O29" s="2250"/>
      <c r="P29" s="2250"/>
      <c r="AH29" s="2257">
        <v>0</v>
      </c>
    </row>
    <row s="34580" customFormat="1" customHeight="1" ht="45" hidden="1">
      <c r="A30" s="2406" t="s">
        <v>187</v>
      </c>
      <c r="B30" s="2406" t="s">
        <v>188</v>
      </c>
      <c r="C30" s="995"/>
      <c r="D30" s="3088"/>
      <c r="E30" s="2830"/>
      <c r="F30" s="300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53" t="str">
        <f>INDEX(PT_DIFFERENTIATION_NTAR,MATCH(B30,PT_DIFFERENTIATION_NTAR_ID,0))</f>
        <v/>
      </c>
      <c r="H30" s="2488"/>
      <c r="I30" s="2365"/>
      <c r="J30" s="2399"/>
      <c r="K30" s="2491"/>
      <c r="L30" s="2488" t="s">
        <v>324</v>
      </c>
      <c r="M30" s="2796"/>
      <c r="N30" s="960"/>
      <c r="O30" s="2250"/>
      <c r="P30" s="2250"/>
      <c r="AH30" s="2257">
        <v>0</v>
      </c>
    </row>
    <row s="34580" customFormat="1" customHeight="1" ht="18.75" hidden="1">
      <c r="A31" s="2406"/>
      <c r="B31" s="2406"/>
      <c r="C31" s="995" t="s">
        <v>1326</v>
      </c>
      <c r="D31" s="3088"/>
      <c r="E31" s="2830"/>
      <c r="F31" s="3009"/>
      <c r="G31" s="3053"/>
      <c r="H31" s="2126"/>
      <c r="I31" s="1277" t="s">
        <v>1327</v>
      </c>
      <c r="J31" s="1197"/>
      <c r="K31" s="2126"/>
      <c r="L31" s="840"/>
      <c r="M31" s="2796"/>
      <c r="N31" s="960"/>
      <c r="O31" s="2250"/>
      <c r="P31" s="2250"/>
      <c r="AH31" s="2257">
        <v>0</v>
      </c>
    </row>
    <row s="34580" customFormat="1" customHeight="1" ht="0.75" hidden="1">
      <c r="A32" s="2406"/>
      <c r="B32" s="2406"/>
      <c r="C32" s="995" t="s">
        <v>1332</v>
      </c>
      <c r="D32" s="3088"/>
      <c r="E32" s="2830"/>
      <c r="F32" s="3009"/>
      <c r="G32" s="1026"/>
      <c r="H32" s="2126"/>
      <c r="I32" s="1277"/>
      <c r="J32" s="1197"/>
      <c r="K32" s="2126"/>
      <c r="L32" s="840"/>
      <c r="M32" s="2796"/>
      <c r="N32" s="960"/>
      <c r="O32" s="2250"/>
      <c r="P32" s="2250"/>
      <c r="AH32" s="2257">
        <v>0</v>
      </c>
    </row>
    <row s="34580" customFormat="1" customHeight="1" ht="45" hidden="1">
      <c r="A33" s="2406" t="s">
        <v>193</v>
      </c>
      <c r="B33" s="2406" t="s">
        <v>194</v>
      </c>
      <c r="C33" s="995"/>
      <c r="D33" s="3088"/>
      <c r="E33" s="2830"/>
      <c r="F33" s="300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53" t="str">
        <f>INDEX(PT_DIFFERENTIATION_NTAR,MATCH(B33,PT_DIFFERENTIATION_NTAR_ID,0))</f>
        <v/>
      </c>
      <c r="H33" s="2488"/>
      <c r="I33" s="2365"/>
      <c r="J33" s="2399"/>
      <c r="K33" s="2491"/>
      <c r="L33" s="2488" t="s">
        <v>324</v>
      </c>
      <c r="M33" s="2796"/>
      <c r="N33" s="960"/>
      <c r="O33" s="2250"/>
      <c r="P33" s="2250"/>
      <c r="AH33" s="2257">
        <v>0</v>
      </c>
    </row>
    <row s="34580" customFormat="1" customHeight="1" ht="18.75" hidden="1">
      <c r="A34" s="2406"/>
      <c r="B34" s="2406"/>
      <c r="C34" s="995" t="s">
        <v>1326</v>
      </c>
      <c r="D34" s="3088"/>
      <c r="E34" s="2830"/>
      <c r="F34" s="3009"/>
      <c r="G34" s="3053"/>
      <c r="H34" s="2126"/>
      <c r="I34" s="1277" t="s">
        <v>1327</v>
      </c>
      <c r="J34" s="1197"/>
      <c r="K34" s="2126"/>
      <c r="L34" s="840"/>
      <c r="M34" s="2796"/>
      <c r="N34" s="960"/>
      <c r="O34" s="2250"/>
      <c r="P34" s="2250"/>
      <c r="AH34" s="2257">
        <v>0</v>
      </c>
    </row>
    <row s="34580" customFormat="1" customHeight="1" ht="0.75" hidden="1">
      <c r="A35" s="2406"/>
      <c r="B35" s="2406"/>
      <c r="C35" s="995" t="s">
        <v>1332</v>
      </c>
      <c r="D35" s="3088"/>
      <c r="E35" s="2830"/>
      <c r="F35" s="3009"/>
      <c r="G35" s="1026"/>
      <c r="H35" s="2126"/>
      <c r="I35" s="1277"/>
      <c r="J35" s="1197"/>
      <c r="K35" s="2126"/>
      <c r="L35" s="840"/>
      <c r="M35" s="2796"/>
      <c r="N35" s="960"/>
      <c r="O35" s="2250"/>
      <c r="P35" s="2250"/>
      <c r="AH35" s="2257">
        <v>0</v>
      </c>
    </row>
    <row s="34580" customFormat="1" customHeight="1" ht="18.75" hidden="1">
      <c r="A36" s="2406" t="s">
        <v>199</v>
      </c>
      <c r="B36" s="2406" t="s">
        <v>200</v>
      </c>
      <c r="C36" s="995"/>
      <c r="D36" s="3088"/>
      <c r="E36" s="2830"/>
      <c r="F36" s="3009" t="str">
        <f>INDEX(PT_DIFFERENTIATION_VTAR,MATCH(A36,PT_DIFFERENTIATION_VTAR_ID,0))</f>
        <v>Тарифы на услуги по передаче тепловой энергии</v>
      </c>
      <c r="G36" s="3053" t="str">
        <f>INDEX(PT_DIFFERENTIATION_NTAR,MATCH(B36,PT_DIFFERENTIATION_NTAR_ID,0))</f>
        <v/>
      </c>
      <c r="H36" s="2488"/>
      <c r="I36" s="2365"/>
      <c r="J36" s="2399"/>
      <c r="K36" s="2491"/>
      <c r="L36" s="2488" t="s">
        <v>324</v>
      </c>
      <c r="M36" s="2796"/>
      <c r="N36" s="960"/>
      <c r="O36" s="2250"/>
      <c r="P36" s="2250"/>
      <c r="AH36" s="2257">
        <v>0</v>
      </c>
    </row>
    <row s="34580" customFormat="1" customHeight="1" ht="18.75" hidden="1">
      <c r="A37" s="2406"/>
      <c r="B37" s="2406"/>
      <c r="C37" s="995" t="s">
        <v>1326</v>
      </c>
      <c r="D37" s="3088"/>
      <c r="E37" s="2830"/>
      <c r="F37" s="3009"/>
      <c r="G37" s="3053"/>
      <c r="H37" s="2126"/>
      <c r="I37" s="1277" t="s">
        <v>1327</v>
      </c>
      <c r="J37" s="1197"/>
      <c r="K37" s="2126"/>
      <c r="L37" s="840"/>
      <c r="M37" s="2796"/>
      <c r="N37" s="960"/>
      <c r="O37" s="2250"/>
      <c r="P37" s="2250"/>
      <c r="AH37" s="2257">
        <v>0</v>
      </c>
    </row>
    <row s="34580" customFormat="1" customHeight="1" ht="0.75" hidden="1">
      <c r="A38" s="2406"/>
      <c r="B38" s="2406"/>
      <c r="C38" s="995" t="s">
        <v>1332</v>
      </c>
      <c r="D38" s="3088"/>
      <c r="E38" s="2830"/>
      <c r="F38" s="3009"/>
      <c r="G38" s="1026"/>
      <c r="H38" s="2126"/>
      <c r="I38" s="1277"/>
      <c r="J38" s="1197"/>
      <c r="K38" s="2126"/>
      <c r="L38" s="840"/>
      <c r="M38" s="2796"/>
      <c r="N38" s="960"/>
      <c r="O38" s="2250"/>
      <c r="P38" s="2250"/>
      <c r="AH38" s="2257">
        <v>0</v>
      </c>
    </row>
    <row s="34580" customFormat="1" customHeight="1" ht="18.75" hidden="1">
      <c r="A39" s="2406" t="s">
        <v>205</v>
      </c>
      <c r="B39" s="2406" t="s">
        <v>206</v>
      </c>
      <c r="C39" s="995"/>
      <c r="D39" s="3088"/>
      <c r="E39" s="2830"/>
      <c r="F39" s="3009" t="str">
        <f>INDEX(PT_DIFFERENTIATION_VTAR,MATCH(A39,PT_DIFFERENTIATION_VTAR_ID,0))</f>
        <v>Тарифы на услуги по передаче теплоносителя</v>
      </c>
      <c r="G39" s="3053" t="str">
        <f>INDEX(PT_DIFFERENTIATION_NTAR,MATCH(B39,PT_DIFFERENTIATION_NTAR_ID,0))</f>
        <v/>
      </c>
      <c r="H39" s="2488"/>
      <c r="I39" s="2365"/>
      <c r="J39" s="2399"/>
      <c r="K39" s="2491"/>
      <c r="L39" s="2488" t="s">
        <v>324</v>
      </c>
      <c r="M39" s="2796"/>
      <c r="N39" s="960"/>
      <c r="O39" s="2250"/>
      <c r="P39" s="2250"/>
      <c r="AH39" s="2257">
        <v>0</v>
      </c>
    </row>
    <row s="34580" customFormat="1" customHeight="1" ht="18.75" hidden="1">
      <c r="A40" s="2406"/>
      <c r="B40" s="2406"/>
      <c r="C40" s="995" t="s">
        <v>1326</v>
      </c>
      <c r="D40" s="3088"/>
      <c r="E40" s="2830"/>
      <c r="F40" s="3009"/>
      <c r="G40" s="3053"/>
      <c r="H40" s="2126"/>
      <c r="I40" s="1277" t="s">
        <v>1327</v>
      </c>
      <c r="J40" s="1197"/>
      <c r="K40" s="2126"/>
      <c r="L40" s="840"/>
      <c r="M40" s="2796"/>
      <c r="N40" s="960"/>
      <c r="O40" s="2250"/>
      <c r="P40" s="2250"/>
      <c r="AH40" s="2257">
        <v>0</v>
      </c>
    </row>
    <row s="34580" customFormat="1" customHeight="1" ht="0.75" hidden="1">
      <c r="A41" s="2406"/>
      <c r="B41" s="2406"/>
      <c r="C41" s="995" t="s">
        <v>1332</v>
      </c>
      <c r="D41" s="3088"/>
      <c r="E41" s="2830"/>
      <c r="F41" s="3009"/>
      <c r="G41" s="1026"/>
      <c r="H41" s="2126"/>
      <c r="I41" s="1277"/>
      <c r="J41" s="1197"/>
      <c r="K41" s="2126"/>
      <c r="L41" s="840"/>
      <c r="M41" s="2796"/>
      <c r="N41" s="960"/>
      <c r="O41" s="2250"/>
      <c r="P41" s="2250"/>
      <c r="AH41" s="2257">
        <v>0</v>
      </c>
    </row>
    <row s="34580" customFormat="1" customHeight="1" ht="18.75" hidden="1">
      <c r="A42" s="2406" t="s">
        <v>211</v>
      </c>
      <c r="B42" s="2406" t="s">
        <v>212</v>
      </c>
      <c r="C42" s="995"/>
      <c r="D42" s="3088"/>
      <c r="E42" s="2830"/>
      <c r="F42" s="3009" t="str">
        <f>INDEX(PT_DIFFERENTIATION_VTAR,MATCH(A42,PT_DIFFERENTIATION_VTAR_ID,0))</f>
        <v>Плата за услуги по поддержанию резервной тепловой мощности при отсутствии потребления тепловой энергии</v>
      </c>
      <c r="G42" s="3053" t="str">
        <f>INDEX(PT_DIFFERENTIATION_NTAR,MATCH(B42,PT_DIFFERENTIATION_NTAR_ID,0))</f>
        <v/>
      </c>
      <c r="H42" s="2488"/>
      <c r="I42" s="2365"/>
      <c r="J42" s="2399"/>
      <c r="K42" s="2491"/>
      <c r="L42" s="2488" t="s">
        <v>324</v>
      </c>
      <c r="M42" s="2796"/>
      <c r="N42" s="960"/>
      <c r="O42" s="2250"/>
      <c r="P42" s="2250"/>
      <c r="AH42" s="2257">
        <v>0</v>
      </c>
    </row>
    <row s="34580" customFormat="1" customHeight="1" ht="18.75" hidden="1">
      <c r="A43" s="2406"/>
      <c r="B43" s="2406"/>
      <c r="C43" s="995" t="s">
        <v>1326</v>
      </c>
      <c r="D43" s="3088"/>
      <c r="E43" s="2830"/>
      <c r="F43" s="3009"/>
      <c r="G43" s="3053"/>
      <c r="H43" s="2126"/>
      <c r="I43" s="1277" t="s">
        <v>1327</v>
      </c>
      <c r="J43" s="1197"/>
      <c r="K43" s="2126"/>
      <c r="L43" s="840"/>
      <c r="M43" s="2796"/>
      <c r="N43" s="960"/>
      <c r="O43" s="2250"/>
      <c r="P43" s="2250"/>
      <c r="AH43" s="2257">
        <v>0</v>
      </c>
    </row>
    <row s="34580" customFormat="1" customHeight="1" ht="0.75" hidden="1">
      <c r="A44" s="2406"/>
      <c r="B44" s="2406"/>
      <c r="C44" s="995" t="s">
        <v>1332</v>
      </c>
      <c r="D44" s="3088"/>
      <c r="E44" s="2830"/>
      <c r="F44" s="3009"/>
      <c r="G44" s="1026"/>
      <c r="H44" s="2126"/>
      <c r="I44" s="1277"/>
      <c r="J44" s="1197"/>
      <c r="K44" s="2126"/>
      <c r="L44" s="840"/>
      <c r="M44" s="2796"/>
      <c r="N44" s="960"/>
      <c r="O44" s="2250"/>
      <c r="P44" s="2250"/>
      <c r="AH44" s="2257">
        <v>0</v>
      </c>
    </row>
    <row s="34580" customFormat="1" customHeight="1" ht="18.75" hidden="1">
      <c r="A45" s="2406" t="s">
        <v>217</v>
      </c>
      <c r="B45" s="2406" t="s">
        <v>218</v>
      </c>
      <c r="C45" s="995"/>
      <c r="D45" s="3088"/>
      <c r="E45" s="2830"/>
      <c r="F45" s="3009" t="str">
        <f>INDEX(PT_DIFFERENTIATION_VTAR,MATCH(A45,PT_DIFFERENTIATION_VTAR_ID,0))</f>
        <v>Плата за подключение (технологическое присоединение) к системе теплоснабжения</v>
      </c>
      <c r="G45" s="3053" t="str">
        <f>INDEX(PT_DIFFERENTIATION_NTAR,MATCH(B45,PT_DIFFERENTIATION_NTAR_ID,0))</f>
        <v/>
      </c>
      <c r="H45" s="2488"/>
      <c r="I45" s="2365"/>
      <c r="J45" s="2399"/>
      <c r="K45" s="2491"/>
      <c r="L45" s="2488" t="s">
        <v>324</v>
      </c>
      <c r="M45" s="2796"/>
      <c r="N45" s="960"/>
      <c r="O45" s="2250"/>
      <c r="P45" s="2250"/>
      <c r="AH45" s="2257">
        <v>0</v>
      </c>
    </row>
    <row s="34580" customFormat="1" customHeight="1" ht="18.75" hidden="1">
      <c r="A46" s="2406"/>
      <c r="B46" s="2406"/>
      <c r="C46" s="995" t="s">
        <v>1326</v>
      </c>
      <c r="D46" s="3088"/>
      <c r="E46" s="2830"/>
      <c r="F46" s="3009"/>
      <c r="G46" s="3053"/>
      <c r="H46" s="2126"/>
      <c r="I46" s="1277" t="s">
        <v>1327</v>
      </c>
      <c r="J46" s="1197"/>
      <c r="K46" s="2126"/>
      <c r="L46" s="840"/>
      <c r="M46" s="2796"/>
      <c r="N46" s="960"/>
      <c r="O46" s="2250"/>
      <c r="P46" s="2250"/>
      <c r="AH46" s="2257">
        <v>0</v>
      </c>
    </row>
    <row s="34580" customFormat="1" customHeight="1" ht="0.75" hidden="1">
      <c r="A47" s="2406"/>
      <c r="B47" s="2406"/>
      <c r="C47" s="995" t="s">
        <v>1332</v>
      </c>
      <c r="D47" s="3088"/>
      <c r="E47" s="2830"/>
      <c r="F47" s="3009"/>
      <c r="G47" s="1026"/>
      <c r="H47" s="2126"/>
      <c r="I47" s="1277"/>
      <c r="J47" s="1197"/>
      <c r="K47" s="2126"/>
      <c r="L47" s="840"/>
      <c r="M47" s="2796"/>
      <c r="N47" s="960"/>
      <c r="O47" s="2250"/>
      <c r="P47" s="2250"/>
      <c r="AH47" s="2257">
        <v>0</v>
      </c>
    </row>
    <row s="34580" customFormat="1" customHeight="1" ht="18.75" hidden="1">
      <c r="A48" s="2406" t="s">
        <v>223</v>
      </c>
      <c r="B48" s="2406" t="s">
        <v>224</v>
      </c>
      <c r="C48" s="995"/>
      <c r="D48" s="3088"/>
      <c r="E48" s="2830"/>
      <c r="F48" s="3009" t="str">
        <f>INDEX(PT_DIFFERENTIATION_VTAR,MATCH(A48,PT_DIFFERENTIATION_VTAR_ID,0))</f>
        <v>Плата за подключение (технологическое присоединение) к системе теплоснабжения (индивидуальная)</v>
      </c>
      <c r="G48" s="3053" t="str">
        <f>INDEX(PT_DIFFERENTIATION_NTAR,MATCH(B48,PT_DIFFERENTIATION_NTAR_ID,0))</f>
        <v/>
      </c>
      <c r="H48" s="2615"/>
      <c r="I48" s="2365"/>
      <c r="J48" s="2399"/>
      <c r="K48" s="2491"/>
      <c r="L48" s="2615" t="s">
        <v>324</v>
      </c>
      <c r="M48" s="2796"/>
      <c r="N48" s="960"/>
      <c r="O48" s="2250"/>
      <c r="P48" s="2250"/>
      <c r="AH48" s="2257">
        <v>0</v>
      </c>
    </row>
    <row s="34580" customFormat="1" customHeight="1" ht="18.75" hidden="1">
      <c r="A49" s="2406"/>
      <c r="B49" s="2406"/>
      <c r="C49" s="995" t="s">
        <v>1326</v>
      </c>
      <c r="D49" s="3088"/>
      <c r="E49" s="2830"/>
      <c r="F49" s="3009"/>
      <c r="G49" s="3053"/>
      <c r="H49" s="2126"/>
      <c r="I49" s="1277" t="s">
        <v>1327</v>
      </c>
      <c r="J49" s="1197"/>
      <c r="K49" s="2126"/>
      <c r="L49" s="840"/>
      <c r="M49" s="2796"/>
      <c r="N49" s="960"/>
      <c r="O49" s="2250"/>
      <c r="P49" s="2250"/>
      <c r="AH49" s="2257">
        <v>0</v>
      </c>
    </row>
    <row s="34580" customFormat="1" customHeight="1" ht="0.75" hidden="1">
      <c r="A50" s="2406"/>
      <c r="B50" s="2406"/>
      <c r="C50" s="995" t="s">
        <v>1332</v>
      </c>
      <c r="D50" s="3088"/>
      <c r="E50" s="2830"/>
      <c r="F50" s="3009"/>
      <c r="G50" s="1026"/>
      <c r="H50" s="2126"/>
      <c r="I50" s="1277"/>
      <c r="J50" s="1197"/>
      <c r="K50" s="2126"/>
      <c r="L50" s="840"/>
      <c r="M50" s="2796"/>
      <c r="N50" s="960"/>
      <c r="O50" s="2250"/>
      <c r="P50" s="2250"/>
      <c r="AH50" s="2257">
        <v>0</v>
      </c>
    </row>
    <row s="34580" customFormat="1" customHeight="1" ht="18.75" hidden="1">
      <c r="A51" s="2406" t="s">
        <v>243</v>
      </c>
      <c r="B51" s="2406" t="s">
        <v>244</v>
      </c>
      <c r="C51" s="995"/>
      <c r="D51" s="3088"/>
      <c r="E51" s="2830"/>
      <c r="F51" s="3009" t="str">
        <f>INDEX(PT_DIFFERENTIATION_VTAR,MATCH(A51,PT_DIFFERENTIATION_VTAR_ID,0))</f>
        <v>Тариф на питьевую воду (питьевое водоснабжение)</v>
      </c>
      <c r="G51" s="3053" t="str">
        <f>INDEX(PT_DIFFERENTIATION_NTAR,MATCH(B51,PT_DIFFERENTIATION_NTAR_ID,0))</f>
        <v/>
      </c>
      <c r="H51" s="2488"/>
      <c r="I51" s="2365"/>
      <c r="J51" s="2399"/>
      <c r="K51" s="2491"/>
      <c r="L51" s="2488" t="s">
        <v>324</v>
      </c>
      <c r="M51" s="2796"/>
      <c r="N51" s="960"/>
      <c r="O51" s="2250"/>
      <c r="P51" s="2250"/>
      <c r="AH51" s="2257">
        <v>0</v>
      </c>
    </row>
    <row s="34580" customFormat="1" customHeight="1" ht="18.75" hidden="1">
      <c r="A52" s="2406"/>
      <c r="B52" s="2406"/>
      <c r="C52" s="995" t="s">
        <v>1326</v>
      </c>
      <c r="D52" s="3088"/>
      <c r="E52" s="2830"/>
      <c r="F52" s="3009"/>
      <c r="G52" s="3053"/>
      <c r="H52" s="2126"/>
      <c r="I52" s="1277" t="s">
        <v>1327</v>
      </c>
      <c r="J52" s="1197"/>
      <c r="K52" s="2126"/>
      <c r="L52" s="840"/>
      <c r="M52" s="2796"/>
      <c r="N52" s="960"/>
      <c r="O52" s="2250"/>
      <c r="P52" s="2250"/>
      <c r="AH52" s="2257">
        <v>0</v>
      </c>
    </row>
    <row s="34580" customFormat="1" customHeight="1" ht="0.75" hidden="1">
      <c r="A53" s="2406"/>
      <c r="B53" s="2406"/>
      <c r="C53" s="995" t="s">
        <v>1332</v>
      </c>
      <c r="D53" s="3088"/>
      <c r="E53" s="2830"/>
      <c r="F53" s="3009"/>
      <c r="G53" s="1026"/>
      <c r="H53" s="2126"/>
      <c r="I53" s="1277"/>
      <c r="J53" s="1197"/>
      <c r="K53" s="2126"/>
      <c r="L53" s="840"/>
      <c r="M53" s="2796"/>
      <c r="N53" s="960"/>
      <c r="O53" s="2250"/>
      <c r="P53" s="2250"/>
      <c r="AH53" s="2257">
        <v>0</v>
      </c>
    </row>
    <row s="34580" customFormat="1" customHeight="1" ht="18.75" hidden="1">
      <c r="A54" s="2406" t="s">
        <v>248</v>
      </c>
      <c r="B54" s="2406" t="s">
        <v>249</v>
      </c>
      <c r="C54" s="995"/>
      <c r="D54" s="3088"/>
      <c r="E54" s="2830"/>
      <c r="F54" s="3009" t="str">
        <f>INDEX(PT_DIFFERENTIATION_VTAR,MATCH(A54,PT_DIFFERENTIATION_VTAR_ID,0))</f>
        <v>Тариф на техническую воду</v>
      </c>
      <c r="G54" s="3053" t="str">
        <f>INDEX(PT_DIFFERENTIATION_NTAR,MATCH(B54,PT_DIFFERENTIATION_NTAR_ID,0))</f>
        <v/>
      </c>
      <c r="H54" s="2488"/>
      <c r="I54" s="2365"/>
      <c r="J54" s="2399"/>
      <c r="K54" s="2491"/>
      <c r="L54" s="2488" t="s">
        <v>324</v>
      </c>
      <c r="M54" s="2796"/>
      <c r="N54" s="960"/>
      <c r="O54" s="2250"/>
      <c r="P54" s="2250"/>
      <c r="AH54" s="2257">
        <v>0</v>
      </c>
    </row>
    <row s="34580" customFormat="1" customHeight="1" ht="18.75" hidden="1">
      <c r="A55" s="2406"/>
      <c r="B55" s="2406"/>
      <c r="C55" s="995" t="s">
        <v>1326</v>
      </c>
      <c r="D55" s="3088"/>
      <c r="E55" s="2830"/>
      <c r="F55" s="3009"/>
      <c r="G55" s="3053"/>
      <c r="H55" s="2126"/>
      <c r="I55" s="1277" t="s">
        <v>1327</v>
      </c>
      <c r="J55" s="1197"/>
      <c r="K55" s="2126"/>
      <c r="L55" s="840"/>
      <c r="M55" s="2796"/>
      <c r="N55" s="960"/>
      <c r="O55" s="2250"/>
      <c r="P55" s="2250"/>
      <c r="AH55" s="2257">
        <v>0</v>
      </c>
    </row>
    <row s="34580" customFormat="1" customHeight="1" ht="0.75" hidden="1">
      <c r="A56" s="2406"/>
      <c r="B56" s="2406"/>
      <c r="C56" s="995" t="s">
        <v>1332</v>
      </c>
      <c r="D56" s="3088"/>
      <c r="E56" s="2830"/>
      <c r="F56" s="3009"/>
      <c r="G56" s="1026"/>
      <c r="H56" s="2126"/>
      <c r="I56" s="1277"/>
      <c r="J56" s="1197"/>
      <c r="K56" s="2126"/>
      <c r="L56" s="840"/>
      <c r="M56" s="2796"/>
      <c r="N56" s="960"/>
      <c r="O56" s="2250"/>
      <c r="P56" s="2250"/>
      <c r="AH56" s="2257">
        <v>0</v>
      </c>
    </row>
    <row s="34580" customFormat="1" customHeight="1" ht="18.75" hidden="1">
      <c r="A57" s="2406" t="s">
        <v>253</v>
      </c>
      <c r="B57" s="2406" t="s">
        <v>254</v>
      </c>
      <c r="C57" s="995"/>
      <c r="D57" s="3088"/>
      <c r="E57" s="2830"/>
      <c r="F57" s="3009" t="str">
        <f>INDEX(PT_DIFFERENTIATION_VTAR,MATCH(A57,PT_DIFFERENTIATION_VTAR_ID,0))</f>
        <v>Тариф на транспортировку воды</v>
      </c>
      <c r="G57" s="3053" t="str">
        <f>INDEX(PT_DIFFERENTIATION_NTAR,MATCH(B57,PT_DIFFERENTIATION_NTAR_ID,0))</f>
        <v/>
      </c>
      <c r="H57" s="2488"/>
      <c r="I57" s="2365"/>
      <c r="J57" s="2399"/>
      <c r="K57" s="2491"/>
      <c r="L57" s="2488" t="s">
        <v>324</v>
      </c>
      <c r="M57" s="2796"/>
      <c r="N57" s="960"/>
      <c r="O57" s="2250"/>
      <c r="P57" s="2250"/>
      <c r="AH57" s="2257">
        <v>0</v>
      </c>
    </row>
    <row s="34580" customFormat="1" customHeight="1" ht="18.75" hidden="1">
      <c r="A58" s="2406"/>
      <c r="B58" s="2406"/>
      <c r="C58" s="995" t="s">
        <v>1326</v>
      </c>
      <c r="D58" s="3088"/>
      <c r="E58" s="2830"/>
      <c r="F58" s="3009"/>
      <c r="G58" s="3053"/>
      <c r="H58" s="2126"/>
      <c r="I58" s="1277" t="s">
        <v>1327</v>
      </c>
      <c r="J58" s="1197"/>
      <c r="K58" s="2126"/>
      <c r="L58" s="840"/>
      <c r="M58" s="2796"/>
      <c r="N58" s="960"/>
      <c r="O58" s="2250"/>
      <c r="P58" s="2250"/>
      <c r="AH58" s="2257">
        <v>0</v>
      </c>
    </row>
    <row s="34580" customFormat="1" customHeight="1" ht="0.75" hidden="1">
      <c r="A59" s="2406"/>
      <c r="B59" s="2406"/>
      <c r="C59" s="995" t="s">
        <v>1332</v>
      </c>
      <c r="D59" s="3088"/>
      <c r="E59" s="2830"/>
      <c r="F59" s="3009"/>
      <c r="G59" s="1026"/>
      <c r="H59" s="2126"/>
      <c r="I59" s="1277"/>
      <c r="J59" s="1197"/>
      <c r="K59" s="2126"/>
      <c r="L59" s="840"/>
      <c r="M59" s="2796"/>
      <c r="N59" s="960"/>
      <c r="O59" s="2250"/>
      <c r="P59" s="2250"/>
      <c r="AH59" s="2257">
        <v>0</v>
      </c>
    </row>
    <row s="34580" customFormat="1" customHeight="1" ht="18.75" hidden="1">
      <c r="A60" s="2406" t="s">
        <v>258</v>
      </c>
      <c r="B60" s="2406" t="s">
        <v>259</v>
      </c>
      <c r="C60" s="995"/>
      <c r="D60" s="3088"/>
      <c r="E60" s="2830"/>
      <c r="F60" s="3009" t="str">
        <f>INDEX(PT_DIFFERENTIATION_VTAR,MATCH(A60,PT_DIFFERENTIATION_VTAR_ID,0))</f>
        <v>Тариф на подвоз воды</v>
      </c>
      <c r="G60" s="3053" t="str">
        <f>INDEX(PT_DIFFERENTIATION_NTAR,MATCH(B60,PT_DIFFERENTIATION_NTAR_ID,0))</f>
        <v/>
      </c>
      <c r="H60" s="2488"/>
      <c r="I60" s="2365"/>
      <c r="J60" s="2399"/>
      <c r="K60" s="2491"/>
      <c r="L60" s="2488" t="s">
        <v>324</v>
      </c>
      <c r="M60" s="2796"/>
      <c r="N60" s="960"/>
      <c r="O60" s="2250"/>
      <c r="P60" s="2250"/>
      <c r="AH60" s="2257">
        <v>0</v>
      </c>
    </row>
    <row s="34580" customFormat="1" customHeight="1" ht="18.75" hidden="1">
      <c r="A61" s="2406"/>
      <c r="B61" s="2406"/>
      <c r="C61" s="995" t="s">
        <v>1326</v>
      </c>
      <c r="D61" s="3088"/>
      <c r="E61" s="2830"/>
      <c r="F61" s="3009"/>
      <c r="G61" s="3053"/>
      <c r="H61" s="2126"/>
      <c r="I61" s="1277" t="s">
        <v>1327</v>
      </c>
      <c r="J61" s="1197"/>
      <c r="K61" s="2126"/>
      <c r="L61" s="840"/>
      <c r="M61" s="2796"/>
      <c r="N61" s="960"/>
      <c r="O61" s="2250"/>
      <c r="P61" s="2250"/>
      <c r="AH61" s="2257">
        <v>0</v>
      </c>
    </row>
    <row s="34580" customFormat="1" customHeight="1" ht="0.75" hidden="1">
      <c r="A62" s="2406"/>
      <c r="B62" s="2406"/>
      <c r="C62" s="995" t="s">
        <v>1332</v>
      </c>
      <c r="D62" s="3088"/>
      <c r="E62" s="2830"/>
      <c r="F62" s="3009"/>
      <c r="G62" s="1026"/>
      <c r="H62" s="2126"/>
      <c r="I62" s="1277"/>
      <c r="J62" s="1197"/>
      <c r="K62" s="2126"/>
      <c r="L62" s="840"/>
      <c r="M62" s="2796"/>
      <c r="N62" s="960"/>
      <c r="O62" s="2250"/>
      <c r="P62" s="2250"/>
      <c r="AH62" s="2257">
        <v>0</v>
      </c>
    </row>
    <row s="34580" customFormat="1" customHeight="1" ht="18.75" hidden="1">
      <c r="A63" s="2406" t="s">
        <v>263</v>
      </c>
      <c r="B63" s="2406" t="s">
        <v>264</v>
      </c>
      <c r="C63" s="995"/>
      <c r="D63" s="3088"/>
      <c r="E63" s="2830"/>
      <c r="F63" s="3009" t="str">
        <f>INDEX(PT_DIFFERENTIATION_VTAR,MATCH(A63,PT_DIFFERENTIATION_VTAR_ID,0))</f>
        <v>Тариф на подключение (технологическое присоединение) к централизованной системе холодного водоснабжения</v>
      </c>
      <c r="G63" s="3053" t="str">
        <f>INDEX(PT_DIFFERENTIATION_NTAR,MATCH(B63,PT_DIFFERENTIATION_NTAR_ID,0))</f>
        <v/>
      </c>
      <c r="H63" s="2488"/>
      <c r="I63" s="2365"/>
      <c r="J63" s="2399"/>
      <c r="K63" s="2491"/>
      <c r="L63" s="2488" t="s">
        <v>324</v>
      </c>
      <c r="M63" s="2796"/>
      <c r="N63" s="960"/>
      <c r="O63" s="2250"/>
      <c r="P63" s="2250"/>
      <c r="AH63" s="2257">
        <v>0</v>
      </c>
    </row>
    <row s="34580" customFormat="1" customHeight="1" ht="18.75" hidden="1">
      <c r="A64" s="2406"/>
      <c r="B64" s="2406"/>
      <c r="C64" s="995" t="s">
        <v>1326</v>
      </c>
      <c r="D64" s="3088"/>
      <c r="E64" s="2830"/>
      <c r="F64" s="3009"/>
      <c r="G64" s="3053"/>
      <c r="H64" s="2126"/>
      <c r="I64" s="1277" t="s">
        <v>1327</v>
      </c>
      <c r="J64" s="1197"/>
      <c r="K64" s="2126"/>
      <c r="L64" s="840"/>
      <c r="M64" s="2796"/>
      <c r="N64" s="960"/>
      <c r="O64" s="2250"/>
      <c r="P64" s="2250"/>
      <c r="AH64" s="2257">
        <v>0</v>
      </c>
    </row>
    <row s="34580" customFormat="1" customHeight="1" ht="0.75" hidden="1">
      <c r="A65" s="2406"/>
      <c r="B65" s="2406"/>
      <c r="C65" s="995" t="s">
        <v>1332</v>
      </c>
      <c r="D65" s="3088"/>
      <c r="E65" s="2830"/>
      <c r="F65" s="3009"/>
      <c r="G65" s="1026"/>
      <c r="H65" s="2126"/>
      <c r="I65" s="1277"/>
      <c r="J65" s="1197"/>
      <c r="K65" s="2126"/>
      <c r="L65" s="840"/>
      <c r="M65" s="2796"/>
      <c r="N65" s="960"/>
      <c r="O65" s="2250"/>
      <c r="P65" s="2250"/>
      <c r="AH65" s="2257">
        <v>0</v>
      </c>
    </row>
    <row s="34580" customFormat="1" customHeight="1" ht="18.75" hidden="1">
      <c r="A66" s="2406" t="s">
        <v>268</v>
      </c>
      <c r="B66" s="2406" t="s">
        <v>269</v>
      </c>
      <c r="C66" s="995"/>
      <c r="D66" s="3088"/>
      <c r="E66" s="2830"/>
      <c r="F66" s="3009" t="str">
        <f>INDEX(PT_DIFFERENTIATION_VTAR,MATCH(A66,PT_DIFFERENTIATION_VTAR_ID,0))</f>
        <v>Тариф на горячую воду (горячее водоснабжение)</v>
      </c>
      <c r="G66" s="3053" t="str">
        <f>INDEX(PT_DIFFERENTIATION_NTAR,MATCH(B66,PT_DIFFERENTIATION_NTAR_ID,0))</f>
        <v/>
      </c>
      <c r="H66" s="2488"/>
      <c r="I66" s="2365"/>
      <c r="J66" s="2399"/>
      <c r="K66" s="2491"/>
      <c r="L66" s="2488" t="s">
        <v>324</v>
      </c>
      <c r="M66" s="2796"/>
      <c r="N66" s="960"/>
      <c r="O66" s="2250"/>
      <c r="P66" s="2250"/>
      <c r="AH66" s="2257">
        <v>0</v>
      </c>
    </row>
    <row s="34580" customFormat="1" customHeight="1" ht="18.75" hidden="1">
      <c r="A67" s="2406"/>
      <c r="B67" s="2406"/>
      <c r="C67" s="995" t="s">
        <v>1326</v>
      </c>
      <c r="D67" s="3088"/>
      <c r="E67" s="2830"/>
      <c r="F67" s="3009"/>
      <c r="G67" s="3053"/>
      <c r="H67" s="2126"/>
      <c r="I67" s="1277" t="s">
        <v>1327</v>
      </c>
      <c r="J67" s="1197"/>
      <c r="K67" s="2126"/>
      <c r="L67" s="840"/>
      <c r="M67" s="2796"/>
      <c r="N67" s="960"/>
      <c r="O67" s="2250"/>
      <c r="P67" s="2250"/>
      <c r="AH67" s="2257">
        <v>0</v>
      </c>
    </row>
    <row s="34580" customFormat="1" customHeight="1" ht="0.75" hidden="1">
      <c r="A68" s="2406"/>
      <c r="B68" s="2406"/>
      <c r="C68" s="995" t="s">
        <v>1332</v>
      </c>
      <c r="D68" s="3088"/>
      <c r="E68" s="2830"/>
      <c r="F68" s="3009"/>
      <c r="G68" s="1026"/>
      <c r="H68" s="2126"/>
      <c r="I68" s="1277"/>
      <c r="J68" s="1197"/>
      <c r="K68" s="2126"/>
      <c r="L68" s="840"/>
      <c r="M68" s="2796"/>
      <c r="N68" s="960"/>
      <c r="O68" s="2250"/>
      <c r="P68" s="2250"/>
      <c r="AH68" s="2257">
        <v>0</v>
      </c>
    </row>
    <row s="34580" customFormat="1" customHeight="1" ht="18.75" hidden="1">
      <c r="A69" s="2406" t="s">
        <v>273</v>
      </c>
      <c r="B69" s="2406" t="s">
        <v>274</v>
      </c>
      <c r="C69" s="995"/>
      <c r="D69" s="3088"/>
      <c r="E69" s="2830"/>
      <c r="F69" s="3009" t="str">
        <f>INDEX(PT_DIFFERENTIATION_VTAR,MATCH(A69,PT_DIFFERENTIATION_VTAR_ID,0))</f>
        <v>Тариф на транспортировку горячей воды</v>
      </c>
      <c r="G69" s="3053" t="str">
        <f>INDEX(PT_DIFFERENTIATION_NTAR,MATCH(B69,PT_DIFFERENTIATION_NTAR_ID,0))</f>
        <v/>
      </c>
      <c r="H69" s="2488"/>
      <c r="I69" s="2365"/>
      <c r="J69" s="2399"/>
      <c r="K69" s="2491"/>
      <c r="L69" s="2488" t="s">
        <v>324</v>
      </c>
      <c r="M69" s="2796"/>
      <c r="N69" s="960"/>
      <c r="O69" s="2250"/>
      <c r="P69" s="2250"/>
      <c r="AH69" s="2257">
        <v>0</v>
      </c>
    </row>
    <row s="34580" customFormat="1" customHeight="1" ht="18.75" hidden="1">
      <c r="A70" s="2406"/>
      <c r="B70" s="2406"/>
      <c r="C70" s="995" t="s">
        <v>1326</v>
      </c>
      <c r="D70" s="3088"/>
      <c r="E70" s="2830"/>
      <c r="F70" s="3009"/>
      <c r="G70" s="3053"/>
      <c r="H70" s="2126"/>
      <c r="I70" s="1277" t="s">
        <v>1327</v>
      </c>
      <c r="J70" s="1197"/>
      <c r="K70" s="2126"/>
      <c r="L70" s="840"/>
      <c r="M70" s="2796"/>
      <c r="N70" s="960"/>
      <c r="O70" s="2250"/>
      <c r="P70" s="2250"/>
      <c r="AH70" s="2257">
        <v>0</v>
      </c>
    </row>
    <row s="34580" customFormat="1" customHeight="1" ht="0.75" hidden="1">
      <c r="A71" s="2406"/>
      <c r="B71" s="2406"/>
      <c r="C71" s="995" t="s">
        <v>1332</v>
      </c>
      <c r="D71" s="3088"/>
      <c r="E71" s="2830"/>
      <c r="F71" s="3009"/>
      <c r="G71" s="1026"/>
      <c r="H71" s="2126"/>
      <c r="I71" s="1277"/>
      <c r="J71" s="1197"/>
      <c r="K71" s="2126"/>
      <c r="L71" s="840"/>
      <c r="M71" s="2796"/>
      <c r="N71" s="960"/>
      <c r="O71" s="2250"/>
      <c r="P71" s="2250"/>
      <c r="AH71" s="2257">
        <v>0</v>
      </c>
    </row>
    <row s="34580" customFormat="1" customHeight="1" ht="18.75" hidden="1">
      <c r="A72" s="2406" t="s">
        <v>278</v>
      </c>
      <c r="B72" s="2406" t="s">
        <v>279</v>
      </c>
      <c r="C72" s="995"/>
      <c r="D72" s="3088"/>
      <c r="E72" s="2830"/>
      <c r="F72" s="3009" t="str">
        <f>INDEX(PT_DIFFERENTIATION_VTAR,MATCH(A72,PT_DIFFERENTIATION_VTAR_ID,0))</f>
        <v>Тариф на подключение (технологическое присоединение) к централизованной системе горячего водоснабжения</v>
      </c>
      <c r="G72" s="3053" t="str">
        <f>INDEX(PT_DIFFERENTIATION_NTAR,MATCH(B72,PT_DIFFERENTIATION_NTAR_ID,0))</f>
        <v/>
      </c>
      <c r="H72" s="2488"/>
      <c r="I72" s="2365"/>
      <c r="J72" s="2399"/>
      <c r="K72" s="2491"/>
      <c r="L72" s="2488" t="s">
        <v>324</v>
      </c>
      <c r="M72" s="2796"/>
      <c r="N72" s="960"/>
      <c r="O72" s="2250"/>
      <c r="P72" s="2250"/>
      <c r="AH72" s="2257">
        <v>0</v>
      </c>
    </row>
    <row s="34580" customFormat="1" customHeight="1" ht="18.75" hidden="1">
      <c r="A73" s="2406"/>
      <c r="B73" s="2406"/>
      <c r="C73" s="995" t="s">
        <v>1326</v>
      </c>
      <c r="D73" s="3088"/>
      <c r="E73" s="2830"/>
      <c r="F73" s="3009"/>
      <c r="G73" s="3053"/>
      <c r="H73" s="2126"/>
      <c r="I73" s="1277" t="s">
        <v>1327</v>
      </c>
      <c r="J73" s="1197"/>
      <c r="K73" s="2126"/>
      <c r="L73" s="840"/>
      <c r="M73" s="2796"/>
      <c r="N73" s="960"/>
      <c r="O73" s="2250"/>
      <c r="P73" s="2250"/>
      <c r="AH73" s="2257">
        <v>0</v>
      </c>
    </row>
    <row s="34580" customFormat="1" customHeight="1" ht="0.75" hidden="1">
      <c r="A74" s="2406"/>
      <c r="B74" s="2406"/>
      <c r="C74" s="995" t="s">
        <v>1332</v>
      </c>
      <c r="D74" s="3088"/>
      <c r="E74" s="2830"/>
      <c r="F74" s="3009"/>
      <c r="G74" s="1026"/>
      <c r="H74" s="2126"/>
      <c r="I74" s="1277"/>
      <c r="J74" s="1197"/>
      <c r="K74" s="2126"/>
      <c r="L74" s="840"/>
      <c r="M74" s="2796"/>
      <c r="N74" s="960"/>
      <c r="O74" s="2250"/>
      <c r="P74" s="2250"/>
      <c r="AH74" s="2257">
        <v>0</v>
      </c>
    </row>
    <row s="34580" customFormat="1" customHeight="1" ht="18.75" hidden="1">
      <c r="A75" s="2406" t="s">
        <v>283</v>
      </c>
      <c r="B75" s="2406" t="s">
        <v>284</v>
      </c>
      <c r="C75" s="995"/>
      <c r="D75" s="3088"/>
      <c r="E75" s="2830"/>
      <c r="F75" s="3009" t="str">
        <f>INDEX(PT_DIFFERENTIATION_VTAR,MATCH(A75,PT_DIFFERENTIATION_VTAR_ID,0))</f>
        <v>Тариф на водоотведение</v>
      </c>
      <c r="G75" s="3053" t="str">
        <f>INDEX(PT_DIFFERENTIATION_NTAR,MATCH(B75,PT_DIFFERENTIATION_NTAR_ID,0))</f>
        <v/>
      </c>
      <c r="H75" s="2488"/>
      <c r="I75" s="2365"/>
      <c r="J75" s="2399"/>
      <c r="K75" s="2491"/>
      <c r="L75" s="2488" t="s">
        <v>324</v>
      </c>
      <c r="M75" s="2796"/>
      <c r="N75" s="960"/>
      <c r="O75" s="2250"/>
      <c r="P75" s="2250"/>
      <c r="AH75" s="2257">
        <v>0</v>
      </c>
    </row>
    <row s="34580" customFormat="1" customHeight="1" ht="18.75" hidden="1">
      <c r="A76" s="2406"/>
      <c r="B76" s="2406"/>
      <c r="C76" s="995" t="s">
        <v>1326</v>
      </c>
      <c r="D76" s="3088"/>
      <c r="E76" s="2830"/>
      <c r="F76" s="3009"/>
      <c r="G76" s="3053"/>
      <c r="H76" s="2126"/>
      <c r="I76" s="1277" t="s">
        <v>1327</v>
      </c>
      <c r="J76" s="1197"/>
      <c r="K76" s="2126"/>
      <c r="L76" s="840"/>
      <c r="M76" s="2796"/>
      <c r="N76" s="960"/>
      <c r="O76" s="2250"/>
      <c r="P76" s="2250"/>
      <c r="AH76" s="2257">
        <v>0</v>
      </c>
    </row>
    <row s="34580" customFormat="1" customHeight="1" ht="0.75" hidden="1">
      <c r="A77" s="2406"/>
      <c r="B77" s="2406"/>
      <c r="C77" s="995" t="s">
        <v>1332</v>
      </c>
      <c r="D77" s="3088"/>
      <c r="E77" s="2830"/>
      <c r="F77" s="3009"/>
      <c r="G77" s="1026"/>
      <c r="H77" s="2126"/>
      <c r="I77" s="1277"/>
      <c r="J77" s="1197"/>
      <c r="K77" s="2126"/>
      <c r="L77" s="840"/>
      <c r="M77" s="2796"/>
      <c r="N77" s="960"/>
      <c r="O77" s="2250"/>
      <c r="P77" s="2250"/>
      <c r="AH77" s="2257">
        <v>0</v>
      </c>
    </row>
    <row s="34580" customFormat="1" customHeight="1" ht="18.75" hidden="1">
      <c r="A78" s="2406" t="s">
        <v>288</v>
      </c>
      <c r="B78" s="2406" t="s">
        <v>289</v>
      </c>
      <c r="C78" s="995"/>
      <c r="D78" s="3088"/>
      <c r="E78" s="2830"/>
      <c r="F78" s="3009" t="str">
        <f>INDEX(PT_DIFFERENTIATION_VTAR,MATCH(A78,PT_DIFFERENTIATION_VTAR_ID,0))</f>
        <v>Тариф на транспортировку сточных вод</v>
      </c>
      <c r="G78" s="3053" t="str">
        <f>INDEX(PT_DIFFERENTIATION_NTAR,MATCH(B78,PT_DIFFERENTIATION_NTAR_ID,0))</f>
        <v/>
      </c>
      <c r="H78" s="2488"/>
      <c r="I78" s="2365"/>
      <c r="J78" s="2399"/>
      <c r="K78" s="2491"/>
      <c r="L78" s="2488" t="s">
        <v>324</v>
      </c>
      <c r="M78" s="2796"/>
      <c r="N78" s="960"/>
      <c r="O78" s="2250"/>
      <c r="P78" s="2250"/>
      <c r="AH78" s="2257">
        <v>0</v>
      </c>
    </row>
    <row s="34580" customFormat="1" customHeight="1" ht="18.75" hidden="1">
      <c r="A79" s="2406"/>
      <c r="B79" s="2406"/>
      <c r="C79" s="995" t="s">
        <v>1326</v>
      </c>
      <c r="D79" s="3088"/>
      <c r="E79" s="2830"/>
      <c r="F79" s="3009"/>
      <c r="G79" s="3053"/>
      <c r="H79" s="2126"/>
      <c r="I79" s="1277" t="s">
        <v>1327</v>
      </c>
      <c r="J79" s="1197"/>
      <c r="K79" s="2126"/>
      <c r="L79" s="840"/>
      <c r="M79" s="2796"/>
      <c r="N79" s="960"/>
      <c r="O79" s="2250"/>
      <c r="P79" s="2250"/>
      <c r="AH79" s="2257">
        <v>0</v>
      </c>
    </row>
    <row s="34580" customFormat="1" customHeight="1" ht="0.75" hidden="1">
      <c r="A80" s="2406"/>
      <c r="B80" s="2406"/>
      <c r="C80" s="995" t="s">
        <v>1332</v>
      </c>
      <c r="D80" s="3088"/>
      <c r="E80" s="2830"/>
      <c r="F80" s="3009"/>
      <c r="G80" s="1026"/>
      <c r="H80" s="2126"/>
      <c r="I80" s="1277"/>
      <c r="J80" s="1197"/>
      <c r="K80" s="2126"/>
      <c r="L80" s="840"/>
      <c r="M80" s="2796"/>
      <c r="N80" s="960"/>
      <c r="O80" s="2250"/>
      <c r="P80" s="2250"/>
      <c r="AH80" s="2257">
        <v>0</v>
      </c>
    </row>
    <row s="34580" customFormat="1" customHeight="1" ht="18.75" hidden="1">
      <c r="A81" s="2406" t="s">
        <v>293</v>
      </c>
      <c r="B81" s="2406" t="s">
        <v>294</v>
      </c>
      <c r="C81" s="995"/>
      <c r="D81" s="3088"/>
      <c r="E81" s="2830"/>
      <c r="F81" s="3009" t="str">
        <f>INDEX(PT_DIFFERENTIATION_VTAR,MATCH(A81,PT_DIFFERENTIATION_VTAR_ID,0))</f>
        <v>Тариф на подключение (технологическое присоединение) к централизованной системе водоотведения</v>
      </c>
      <c r="G81" s="3053" t="str">
        <f>INDEX(PT_DIFFERENTIATION_NTAR,MATCH(B81,PT_DIFFERENTIATION_NTAR_ID,0))</f>
        <v/>
      </c>
      <c r="H81" s="2488"/>
      <c r="I81" s="2365"/>
      <c r="J81" s="2399"/>
      <c r="K81" s="2491"/>
      <c r="L81" s="2488" t="s">
        <v>324</v>
      </c>
      <c r="M81" s="2796"/>
      <c r="N81" s="960"/>
      <c r="O81" s="2250"/>
      <c r="P81" s="2250"/>
      <c r="AH81" s="2257">
        <v>0</v>
      </c>
    </row>
    <row s="34580" customFormat="1" customHeight="1" ht="18.75" hidden="1">
      <c r="A82" s="2406"/>
      <c r="B82" s="2406"/>
      <c r="C82" s="995" t="s">
        <v>1326</v>
      </c>
      <c r="D82" s="3088"/>
      <c r="E82" s="2830"/>
      <c r="F82" s="3009"/>
      <c r="G82" s="3053"/>
      <c r="H82" s="2126"/>
      <c r="I82" s="1277" t="s">
        <v>1327</v>
      </c>
      <c r="J82" s="1197"/>
      <c r="K82" s="2126"/>
      <c r="L82" s="840"/>
      <c r="M82" s="2796"/>
      <c r="N82" s="960"/>
      <c r="O82" s="2250"/>
      <c r="P82" s="2250"/>
      <c r="AH82" s="2257">
        <v>0</v>
      </c>
    </row>
    <row s="34580" customFormat="1" customHeight="1" ht="1.05">
      <c r="A83" s="2406"/>
      <c r="B83" s="2406"/>
      <c r="C83" s="995" t="s">
        <v>1332</v>
      </c>
      <c r="D83" s="3088"/>
      <c r="E83" s="2830"/>
      <c r="F83" s="3009"/>
      <c r="G83" s="1026"/>
      <c r="H83" s="2126"/>
      <c r="I83" s="1277"/>
      <c r="J83" s="1197"/>
      <c r="K83" s="2126"/>
      <c r="L83" s="840"/>
      <c r="M83" s="2796"/>
      <c r="N83" s="960"/>
      <c r="O83" s="2250"/>
      <c r="P83" s="2250"/>
      <c r="AH83" s="2257">
        <v>1</v>
      </c>
    </row>
    <row customHeight="1" ht="19.95">
      <c r="A84" s="2406"/>
      <c r="B84" s="2406"/>
      <c r="D84" s="1002"/>
      <c r="E84" s="773" t="s">
        <v>102</v>
      </c>
      <c r="F84" s="308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086"/>
      <c r="H84" s="3086"/>
      <c r="I84" s="3086"/>
      <c r="J84" s="3086"/>
      <c r="K84" s="3086"/>
      <c r="L84" s="3086"/>
      <c r="M84" s="923"/>
      <c r="N84" s="960"/>
      <c r="AH84" s="1000">
        <v>19</v>
      </c>
    </row>
    <row customHeight="1" ht="35.699999999999996">
      <c r="A85" s="2406"/>
      <c r="B85" s="2406"/>
      <c r="D85" s="1002"/>
      <c r="E85" s="1025"/>
      <c r="F85" s="824" t="s">
        <v>324</v>
      </c>
      <c r="G85" s="824" t="s">
        <v>324</v>
      </c>
      <c r="H85" s="2844" t="s">
        <v>324</v>
      </c>
      <c r="I85" s="2846"/>
      <c r="J85" s="824" t="s">
        <v>324</v>
      </c>
      <c r="K85" s="824" t="s">
        <v>324</v>
      </c>
      <c r="L85" s="1027"/>
      <c r="M85" s="971" t="s">
        <v>1333</v>
      </c>
      <c r="N85" s="960"/>
      <c r="AH85" s="1000">
        <v>34</v>
      </c>
    </row>
    <row customHeight="1" ht="19.95">
      <c r="A86" s="2406"/>
      <c r="B86" s="2406"/>
      <c r="D86" s="1002"/>
      <c r="E86" s="773" t="s">
        <v>90</v>
      </c>
      <c r="F86" s="3086" t="s">
        <v>1334</v>
      </c>
      <c r="G86" s="3086"/>
      <c r="H86" s="3086"/>
      <c r="I86" s="3086"/>
      <c r="J86" s="3086"/>
      <c r="K86" s="3086"/>
      <c r="L86" s="3086"/>
      <c r="M86" s="923"/>
      <c r="N86" s="960"/>
      <c r="AH86" s="1000">
        <v>19</v>
      </c>
    </row>
    <row s="34580" customFormat="1" customHeight="1" ht="60.75" hidden="1">
      <c r="A87" s="2406" t="s">
        <v>175</v>
      </c>
      <c r="B87" s="2406" t="s">
        <v>176</v>
      </c>
      <c r="C87" s="995"/>
      <c r="D87" s="3088"/>
      <c r="E87" s="2830"/>
      <c r="F87" s="300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053" t="str">
        <f>INDEX(PT_DIFFERENTIATION_NTAR,MATCH(B87,PT_DIFFERENTIATION_NTAR_ID,0))</f>
        <v/>
      </c>
      <c r="H87" s="2488"/>
      <c r="I87" s="2365"/>
      <c r="J87" s="2399"/>
      <c r="K87" s="2404"/>
      <c r="L87" s="2488" t="s">
        <v>324</v>
      </c>
      <c r="M87" s="27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960"/>
      <c r="O87" s="2250"/>
      <c r="P87" s="2250"/>
      <c r="AH87" s="2257">
        <v>0</v>
      </c>
    </row>
    <row s="34580" customFormat="1" customHeight="1" ht="18.75" hidden="1">
      <c r="A88" s="2406"/>
      <c r="B88" s="2406"/>
      <c r="C88" s="995" t="s">
        <v>1328</v>
      </c>
      <c r="D88" s="3088"/>
      <c r="E88" s="2830"/>
      <c r="F88" s="3009"/>
      <c r="G88" s="3053"/>
      <c r="H88" s="2126"/>
      <c r="I88" s="1277" t="s">
        <v>1327</v>
      </c>
      <c r="J88" s="1197"/>
      <c r="K88" s="2126"/>
      <c r="L88" s="840"/>
      <c r="M88" s="2796"/>
      <c r="N88" s="960"/>
      <c r="O88" s="2250"/>
      <c r="P88" s="2250"/>
      <c r="AH88" s="2257">
        <v>0</v>
      </c>
    </row>
    <row s="34580" customFormat="1" customHeight="1" ht="0.75" hidden="1">
      <c r="A89" s="2406"/>
      <c r="B89" s="2406"/>
      <c r="C89" s="995" t="s">
        <v>1335</v>
      </c>
      <c r="D89" s="3088"/>
      <c r="E89" s="2830"/>
      <c r="F89" s="3009"/>
      <c r="G89" s="1026"/>
      <c r="H89" s="2126"/>
      <c r="I89" s="1277"/>
      <c r="J89" s="1197"/>
      <c r="K89" s="2126"/>
      <c r="L89" s="840"/>
      <c r="M89" s="2796"/>
      <c r="N89" s="960"/>
      <c r="O89" s="2250"/>
      <c r="P89" s="2250"/>
      <c r="AH89" s="2257">
        <v>0</v>
      </c>
    </row>
    <row s="34580" customFormat="1" customHeight="1" ht="45" hidden="1">
      <c r="A90" s="2406" t="s">
        <v>180</v>
      </c>
      <c r="B90" s="2406" t="s">
        <v>181</v>
      </c>
      <c r="C90" s="995"/>
      <c r="D90" s="3088"/>
      <c r="E90" s="2830"/>
      <c r="F90" s="3009" t="str">
        <f>INDEX(PT_DIFFERENTIATION_VTAR,MATCH(A90,PT_DIFFERENTIATION_VTAR_ID,0))</f>
        <v/>
      </c>
      <c r="G90" s="3053" t="str">
        <f>INDEX(PT_DIFFERENTIATION_NTAR,MATCH(B90,PT_DIFFERENTIATION_NTAR_ID,0))</f>
        <v/>
      </c>
      <c r="H90" s="2488"/>
      <c r="I90" s="2365"/>
      <c r="J90" s="2399"/>
      <c r="K90" s="2404"/>
      <c r="L90" s="2488" t="s">
        <v>324</v>
      </c>
      <c r="M90" s="2797"/>
      <c r="N90" s="960"/>
      <c r="O90" s="2250"/>
      <c r="P90" s="2250"/>
      <c r="AH90" s="2257">
        <v>0</v>
      </c>
    </row>
    <row s="34580" customFormat="1" customHeight="1" ht="18.75" hidden="1">
      <c r="A91" s="2406"/>
      <c r="B91" s="2406"/>
      <c r="C91" s="995" t="s">
        <v>1328</v>
      </c>
      <c r="D91" s="3088"/>
      <c r="E91" s="2830"/>
      <c r="F91" s="3009"/>
      <c r="G91" s="3053"/>
      <c r="H91" s="2126"/>
      <c r="I91" s="1277" t="s">
        <v>1327</v>
      </c>
      <c r="J91" s="1197"/>
      <c r="K91" s="2126"/>
      <c r="L91" s="840"/>
      <c r="M91" s="2487"/>
      <c r="N91" s="960"/>
      <c r="O91" s="2250"/>
      <c r="P91" s="2250"/>
      <c r="AH91" s="2257">
        <v>0</v>
      </c>
    </row>
    <row s="34580" customFormat="1" customHeight="1" ht="0.75" hidden="1">
      <c r="A92" s="2406"/>
      <c r="B92" s="2406"/>
      <c r="C92" s="995" t="s">
        <v>1335</v>
      </c>
      <c r="D92" s="3088"/>
      <c r="E92" s="2830"/>
      <c r="F92" s="3009"/>
      <c r="G92" s="1026"/>
      <c r="H92" s="2126"/>
      <c r="I92" s="1277"/>
      <c r="J92" s="1197"/>
      <c r="K92" s="2126"/>
      <c r="L92" s="840"/>
      <c r="M92" s="967"/>
      <c r="N92" s="960"/>
      <c r="O92" s="2250"/>
      <c r="P92" s="2250"/>
      <c r="AH92" s="2257">
        <v>0</v>
      </c>
    </row>
    <row s="34580" customFormat="1" customHeight="1" ht="45" hidden="1">
      <c r="A93" s="2406" t="s">
        <v>187</v>
      </c>
      <c r="B93" s="2406" t="s">
        <v>188</v>
      </c>
      <c r="C93" s="995"/>
      <c r="D93" s="3088"/>
      <c r="E93" s="2830"/>
      <c r="F93" s="300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053" t="str">
        <f>INDEX(PT_DIFFERENTIATION_NTAR,MATCH(B93,PT_DIFFERENTIATION_NTAR_ID,0))</f>
        <v/>
      </c>
      <c r="H93" s="2488"/>
      <c r="I93" s="2365"/>
      <c r="J93" s="2399"/>
      <c r="K93" s="2404"/>
      <c r="L93" s="2488" t="s">
        <v>324</v>
      </c>
      <c r="M93" s="967"/>
      <c r="N93" s="960"/>
      <c r="O93" s="2250"/>
      <c r="P93" s="2250"/>
      <c r="AH93" s="2257">
        <v>0</v>
      </c>
    </row>
    <row s="34580" customFormat="1" customHeight="1" ht="18.75" hidden="1">
      <c r="A94" s="2406"/>
      <c r="B94" s="2406"/>
      <c r="C94" s="995" t="s">
        <v>1328</v>
      </c>
      <c r="D94" s="3088"/>
      <c r="E94" s="2830"/>
      <c r="F94" s="3009"/>
      <c r="G94" s="3053"/>
      <c r="H94" s="2126"/>
      <c r="I94" s="1277" t="s">
        <v>1327</v>
      </c>
      <c r="J94" s="1197"/>
      <c r="K94" s="2126"/>
      <c r="L94" s="840"/>
      <c r="M94" s="967"/>
      <c r="N94" s="960"/>
      <c r="O94" s="2250"/>
      <c r="P94" s="2250"/>
      <c r="AH94" s="2257">
        <v>0</v>
      </c>
    </row>
    <row s="34580" customFormat="1" customHeight="1" ht="0.75" hidden="1">
      <c r="A95" s="2406"/>
      <c r="B95" s="2406"/>
      <c r="C95" s="995" t="s">
        <v>1335</v>
      </c>
      <c r="D95" s="3088"/>
      <c r="E95" s="2830"/>
      <c r="F95" s="3009"/>
      <c r="G95" s="1026"/>
      <c r="H95" s="2126"/>
      <c r="I95" s="1277"/>
      <c r="J95" s="1197"/>
      <c r="K95" s="2126"/>
      <c r="L95" s="840"/>
      <c r="M95" s="967"/>
      <c r="N95" s="960"/>
      <c r="O95" s="2250"/>
      <c r="P95" s="2250"/>
      <c r="AH95" s="2257">
        <v>0</v>
      </c>
    </row>
    <row s="34580" customFormat="1" customHeight="1" ht="45" hidden="1">
      <c r="A96" s="2406" t="s">
        <v>193</v>
      </c>
      <c r="B96" s="2406" t="s">
        <v>194</v>
      </c>
      <c r="C96" s="995"/>
      <c r="D96" s="3088"/>
      <c r="E96" s="2830"/>
      <c r="F96" s="300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053" t="str">
        <f>INDEX(PT_DIFFERENTIATION_NTAR,MATCH(B96,PT_DIFFERENTIATION_NTAR_ID,0))</f>
        <v/>
      </c>
      <c r="H96" s="2488"/>
      <c r="I96" s="2365"/>
      <c r="J96" s="2399"/>
      <c r="K96" s="2404"/>
      <c r="L96" s="2488" t="s">
        <v>324</v>
      </c>
      <c r="M96" s="967"/>
      <c r="N96" s="960"/>
      <c r="O96" s="2250"/>
      <c r="P96" s="2250"/>
      <c r="AH96" s="2257">
        <v>0</v>
      </c>
    </row>
    <row s="34580" customFormat="1" customHeight="1" ht="18.75" hidden="1">
      <c r="A97" s="2406"/>
      <c r="B97" s="2406"/>
      <c r="C97" s="995" t="s">
        <v>1328</v>
      </c>
      <c r="D97" s="3088"/>
      <c r="E97" s="2830"/>
      <c r="F97" s="3009"/>
      <c r="G97" s="3053"/>
      <c r="H97" s="2126"/>
      <c r="I97" s="1277" t="s">
        <v>1327</v>
      </c>
      <c r="J97" s="1197"/>
      <c r="K97" s="2126"/>
      <c r="L97" s="840"/>
      <c r="M97" s="967"/>
      <c r="N97" s="960"/>
      <c r="O97" s="2250"/>
      <c r="P97" s="2250"/>
      <c r="AH97" s="2257">
        <v>0</v>
      </c>
    </row>
    <row s="34580" customFormat="1" customHeight="1" ht="0.75" hidden="1">
      <c r="A98" s="2406"/>
      <c r="B98" s="2406"/>
      <c r="C98" s="995" t="s">
        <v>1335</v>
      </c>
      <c r="D98" s="3088"/>
      <c r="E98" s="2830"/>
      <c r="F98" s="3009"/>
      <c r="G98" s="1026"/>
      <c r="H98" s="2126"/>
      <c r="I98" s="1277"/>
      <c r="J98" s="1197"/>
      <c r="K98" s="2126"/>
      <c r="L98" s="840"/>
      <c r="M98" s="967"/>
      <c r="N98" s="960"/>
      <c r="O98" s="2250"/>
      <c r="P98" s="2250"/>
      <c r="AH98" s="2257">
        <v>0</v>
      </c>
    </row>
    <row s="34580" customFormat="1" customHeight="1" ht="18.75" hidden="1">
      <c r="A99" s="2406" t="s">
        <v>199</v>
      </c>
      <c r="B99" s="2406" t="s">
        <v>200</v>
      </c>
      <c r="C99" s="995"/>
      <c r="D99" s="3088"/>
      <c r="E99" s="2830"/>
      <c r="F99" s="3009" t="str">
        <f>INDEX(PT_DIFFERENTIATION_VTAR,MATCH(A99,PT_DIFFERENTIATION_VTAR_ID,0))</f>
        <v>Тарифы на услуги по передаче тепловой энергии</v>
      </c>
      <c r="G99" s="3053" t="str">
        <f>INDEX(PT_DIFFERENTIATION_NTAR,MATCH(B99,PT_DIFFERENTIATION_NTAR_ID,0))</f>
        <v/>
      </c>
      <c r="H99" s="2488"/>
      <c r="I99" s="2365"/>
      <c r="J99" s="2399"/>
      <c r="K99" s="2404"/>
      <c r="L99" s="2488" t="s">
        <v>324</v>
      </c>
      <c r="M99" s="967"/>
      <c r="N99" s="960"/>
      <c r="O99" s="2250"/>
      <c r="P99" s="2250"/>
      <c r="AH99" s="2257">
        <v>0</v>
      </c>
    </row>
    <row s="34580" customFormat="1" customHeight="1" ht="18.75" hidden="1">
      <c r="A100" s="2406"/>
      <c r="B100" s="2406"/>
      <c r="C100" s="995" t="s">
        <v>1328</v>
      </c>
      <c r="D100" s="3088"/>
      <c r="E100" s="2830"/>
      <c r="F100" s="3009"/>
      <c r="G100" s="3053"/>
      <c r="H100" s="2126"/>
      <c r="I100" s="1277" t="s">
        <v>1327</v>
      </c>
      <c r="J100" s="1197"/>
      <c r="K100" s="2126"/>
      <c r="L100" s="840"/>
      <c r="M100" s="967"/>
      <c r="N100" s="960"/>
      <c r="O100" s="2250"/>
      <c r="P100" s="2250"/>
      <c r="AH100" s="2257">
        <v>0</v>
      </c>
    </row>
    <row s="34580" customFormat="1" customHeight="1" ht="0.75" hidden="1">
      <c r="A101" s="2406"/>
      <c r="B101" s="2406"/>
      <c r="C101" s="995" t="s">
        <v>1335</v>
      </c>
      <c r="D101" s="3088"/>
      <c r="E101" s="2830"/>
      <c r="F101" s="3009"/>
      <c r="G101" s="1026"/>
      <c r="H101" s="2126"/>
      <c r="I101" s="1277"/>
      <c r="J101" s="1197"/>
      <c r="K101" s="2126"/>
      <c r="L101" s="840"/>
      <c r="M101" s="967"/>
      <c r="N101" s="960"/>
      <c r="O101" s="2250"/>
      <c r="P101" s="2250"/>
      <c r="AH101" s="2257">
        <v>0</v>
      </c>
    </row>
    <row s="34580" customFormat="1" customHeight="1" ht="18.75" hidden="1">
      <c r="A102" s="2406" t="s">
        <v>205</v>
      </c>
      <c r="B102" s="2406" t="s">
        <v>206</v>
      </c>
      <c r="C102" s="995"/>
      <c r="D102" s="3088"/>
      <c r="E102" s="2830"/>
      <c r="F102" s="3009" t="str">
        <f>INDEX(PT_DIFFERENTIATION_VTAR,MATCH(A102,PT_DIFFERENTIATION_VTAR_ID,0))</f>
        <v>Тарифы на услуги по передаче теплоносителя</v>
      </c>
      <c r="G102" s="3053" t="str">
        <f>INDEX(PT_DIFFERENTIATION_NTAR,MATCH(B102,PT_DIFFERENTIATION_NTAR_ID,0))</f>
        <v/>
      </c>
      <c r="H102" s="2488"/>
      <c r="I102" s="2365"/>
      <c r="J102" s="2399"/>
      <c r="K102" s="2404"/>
      <c r="L102" s="2488" t="s">
        <v>324</v>
      </c>
      <c r="M102" s="967"/>
      <c r="N102" s="960"/>
      <c r="O102" s="2250"/>
      <c r="P102" s="2250"/>
      <c r="AH102" s="2257">
        <v>0</v>
      </c>
    </row>
    <row s="34580" customFormat="1" customHeight="1" ht="18.75" hidden="1">
      <c r="A103" s="2406"/>
      <c r="B103" s="2406"/>
      <c r="C103" s="995" t="s">
        <v>1328</v>
      </c>
      <c r="D103" s="3088"/>
      <c r="E103" s="2830"/>
      <c r="F103" s="3009"/>
      <c r="G103" s="3053"/>
      <c r="H103" s="2126"/>
      <c r="I103" s="1277" t="s">
        <v>1327</v>
      </c>
      <c r="J103" s="1197"/>
      <c r="K103" s="2126"/>
      <c r="L103" s="840"/>
      <c r="M103" s="967"/>
      <c r="N103" s="960"/>
      <c r="O103" s="2250"/>
      <c r="P103" s="2250"/>
      <c r="AH103" s="2257">
        <v>0</v>
      </c>
    </row>
    <row s="34580" customFormat="1" customHeight="1" ht="0.75" hidden="1">
      <c r="A104" s="2406"/>
      <c r="B104" s="2406"/>
      <c r="C104" s="995" t="s">
        <v>1335</v>
      </c>
      <c r="D104" s="3088"/>
      <c r="E104" s="2830"/>
      <c r="F104" s="3009"/>
      <c r="G104" s="1026"/>
      <c r="H104" s="2126"/>
      <c r="I104" s="1277"/>
      <c r="J104" s="1197"/>
      <c r="K104" s="2126"/>
      <c r="L104" s="840"/>
      <c r="M104" s="967"/>
      <c r="N104" s="960"/>
      <c r="O104" s="2250"/>
      <c r="P104" s="2250"/>
      <c r="AH104" s="2257">
        <v>0</v>
      </c>
    </row>
    <row s="34580" customFormat="1" customHeight="1" ht="18.75" hidden="1">
      <c r="A105" s="2406" t="s">
        <v>211</v>
      </c>
      <c r="B105" s="2406" t="s">
        <v>212</v>
      </c>
      <c r="C105" s="995"/>
      <c r="D105" s="3088"/>
      <c r="E105" s="2830"/>
      <c r="F105" s="300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053" t="str">
        <f>INDEX(PT_DIFFERENTIATION_NTAR,MATCH(B105,PT_DIFFERENTIATION_NTAR_ID,0))</f>
        <v/>
      </c>
      <c r="H105" s="2488"/>
      <c r="I105" s="2365"/>
      <c r="J105" s="2399"/>
      <c r="K105" s="2404"/>
      <c r="L105" s="2488" t="s">
        <v>324</v>
      </c>
      <c r="M105" s="967"/>
      <c r="N105" s="960"/>
      <c r="O105" s="2250"/>
      <c r="P105" s="2250"/>
      <c r="AH105" s="2257">
        <v>0</v>
      </c>
    </row>
    <row s="34580" customFormat="1" customHeight="1" ht="18.75" hidden="1">
      <c r="A106" s="2406"/>
      <c r="B106" s="2406"/>
      <c r="C106" s="995" t="s">
        <v>1328</v>
      </c>
      <c r="D106" s="3088"/>
      <c r="E106" s="2830"/>
      <c r="F106" s="3009"/>
      <c r="G106" s="3053"/>
      <c r="H106" s="2126"/>
      <c r="I106" s="1277" t="s">
        <v>1327</v>
      </c>
      <c r="J106" s="1197"/>
      <c r="K106" s="2126"/>
      <c r="L106" s="840"/>
      <c r="M106" s="967"/>
      <c r="N106" s="960"/>
      <c r="O106" s="2250"/>
      <c r="P106" s="2250"/>
      <c r="AH106" s="2257">
        <v>0</v>
      </c>
    </row>
    <row s="34580" customFormat="1" customHeight="1" ht="0.75" hidden="1">
      <c r="A107" s="2406"/>
      <c r="B107" s="2406"/>
      <c r="C107" s="995" t="s">
        <v>1335</v>
      </c>
      <c r="D107" s="3088"/>
      <c r="E107" s="2830"/>
      <c r="F107" s="3009"/>
      <c r="G107" s="1026"/>
      <c r="H107" s="2126"/>
      <c r="I107" s="1277"/>
      <c r="J107" s="1197"/>
      <c r="K107" s="2126"/>
      <c r="L107" s="840"/>
      <c r="M107" s="967"/>
      <c r="N107" s="960"/>
      <c r="O107" s="2250"/>
      <c r="P107" s="2250"/>
      <c r="AH107" s="2257">
        <v>0</v>
      </c>
    </row>
    <row s="34580" customFormat="1" customHeight="1" ht="18.75" hidden="1">
      <c r="A108" s="2406" t="s">
        <v>217</v>
      </c>
      <c r="B108" s="2406" t="s">
        <v>218</v>
      </c>
      <c r="C108" s="995"/>
      <c r="D108" s="3088"/>
      <c r="E108" s="2830"/>
      <c r="F108" s="3009" t="str">
        <f>INDEX(PT_DIFFERENTIATION_VTAR,MATCH(A108,PT_DIFFERENTIATION_VTAR_ID,0))</f>
        <v>Плата за подключение (технологическое присоединение) к системе теплоснабжения</v>
      </c>
      <c r="G108" s="3053" t="str">
        <f>INDEX(PT_DIFFERENTIATION_NTAR,MATCH(B108,PT_DIFFERENTIATION_NTAR_ID,0))</f>
        <v/>
      </c>
      <c r="H108" s="2488"/>
      <c r="I108" s="2365"/>
      <c r="J108" s="2399"/>
      <c r="K108" s="2404"/>
      <c r="L108" s="2488" t="s">
        <v>324</v>
      </c>
      <c r="M108" s="967"/>
      <c r="N108" s="960"/>
      <c r="O108" s="2250"/>
      <c r="P108" s="2250"/>
      <c r="AH108" s="2257">
        <v>0</v>
      </c>
    </row>
    <row s="34580" customFormat="1" customHeight="1" ht="18.75" hidden="1">
      <c r="A109" s="2406"/>
      <c r="B109" s="2406"/>
      <c r="C109" s="995" t="s">
        <v>1328</v>
      </c>
      <c r="D109" s="3088"/>
      <c r="E109" s="2830"/>
      <c r="F109" s="3009"/>
      <c r="G109" s="3053"/>
      <c r="H109" s="2126"/>
      <c r="I109" s="1277" t="s">
        <v>1327</v>
      </c>
      <c r="J109" s="1197"/>
      <c r="K109" s="2126"/>
      <c r="L109" s="840"/>
      <c r="M109" s="967"/>
      <c r="N109" s="960"/>
      <c r="O109" s="2250"/>
      <c r="P109" s="2250"/>
      <c r="AH109" s="2257">
        <v>0</v>
      </c>
    </row>
    <row s="34580" customFormat="1" customHeight="1" ht="0.75" hidden="1">
      <c r="A110" s="2406"/>
      <c r="B110" s="2406"/>
      <c r="C110" s="995" t="s">
        <v>1335</v>
      </c>
      <c r="D110" s="3088"/>
      <c r="E110" s="2830"/>
      <c r="F110" s="3009"/>
      <c r="G110" s="1026"/>
      <c r="H110" s="2126"/>
      <c r="I110" s="1277"/>
      <c r="J110" s="1197"/>
      <c r="K110" s="2126"/>
      <c r="L110" s="840"/>
      <c r="M110" s="967"/>
      <c r="N110" s="960"/>
      <c r="O110" s="2250"/>
      <c r="P110" s="2250"/>
      <c r="AH110" s="2257">
        <v>0</v>
      </c>
    </row>
    <row s="34580" customFormat="1" customHeight="1" ht="18.75" hidden="1">
      <c r="A111" s="2406" t="s">
        <v>223</v>
      </c>
      <c r="B111" s="2406" t="s">
        <v>224</v>
      </c>
      <c r="C111" s="995"/>
      <c r="D111" s="3088"/>
      <c r="E111" s="2830"/>
      <c r="F111" s="3009" t="str">
        <f>INDEX(PT_DIFFERENTIATION_VTAR,MATCH(A111,PT_DIFFERENTIATION_VTAR_ID,0))</f>
        <v>Плата за подключение (технологическое присоединение) к системе теплоснабжения (индивидуальная)</v>
      </c>
      <c r="G111" s="3053" t="str">
        <f>INDEX(PT_DIFFERENTIATION_NTAR,MATCH(B111,PT_DIFFERENTIATION_NTAR_ID,0))</f>
        <v/>
      </c>
      <c r="H111" s="2615"/>
      <c r="I111" s="2365"/>
      <c r="J111" s="2399"/>
      <c r="K111" s="2404"/>
      <c r="L111" s="2615" t="s">
        <v>324</v>
      </c>
      <c r="M111" s="967"/>
      <c r="N111" s="960"/>
      <c r="O111" s="2250"/>
      <c r="P111" s="2250"/>
      <c r="AH111" s="2257">
        <v>0</v>
      </c>
    </row>
    <row s="34580" customFormat="1" customHeight="1" ht="18.75" hidden="1">
      <c r="A112" s="2406"/>
      <c r="B112" s="2406"/>
      <c r="C112" s="995" t="s">
        <v>1328</v>
      </c>
      <c r="D112" s="3088"/>
      <c r="E112" s="2830"/>
      <c r="F112" s="3009"/>
      <c r="G112" s="3053"/>
      <c r="H112" s="2126"/>
      <c r="I112" s="1277" t="s">
        <v>1327</v>
      </c>
      <c r="J112" s="1197"/>
      <c r="K112" s="2126"/>
      <c r="L112" s="840"/>
      <c r="M112" s="967"/>
      <c r="N112" s="960"/>
      <c r="O112" s="2250"/>
      <c r="P112" s="2250"/>
      <c r="AH112" s="2257">
        <v>0</v>
      </c>
    </row>
    <row s="34580" customFormat="1" customHeight="1" ht="0.75" hidden="1">
      <c r="A113" s="2406"/>
      <c r="B113" s="2406"/>
      <c r="C113" s="995" t="s">
        <v>1335</v>
      </c>
      <c r="D113" s="3088"/>
      <c r="E113" s="2830"/>
      <c r="F113" s="3009"/>
      <c r="G113" s="1026"/>
      <c r="H113" s="2126"/>
      <c r="I113" s="1277"/>
      <c r="J113" s="1197"/>
      <c r="K113" s="2126"/>
      <c r="L113" s="840"/>
      <c r="M113" s="967"/>
      <c r="N113" s="960"/>
      <c r="O113" s="2250"/>
      <c r="P113" s="2250"/>
      <c r="AH113" s="2257">
        <v>0</v>
      </c>
    </row>
    <row s="34580" customFormat="1" customHeight="1" ht="18.75" hidden="1">
      <c r="A114" s="2406" t="s">
        <v>243</v>
      </c>
      <c r="B114" s="2406" t="s">
        <v>244</v>
      </c>
      <c r="C114" s="995"/>
      <c r="D114" s="3088"/>
      <c r="E114" s="2830"/>
      <c r="F114" s="3009" t="str">
        <f>INDEX(PT_DIFFERENTIATION_VTAR,MATCH(A114,PT_DIFFERENTIATION_VTAR_ID,0))</f>
        <v>Тариф на питьевую воду (питьевое водоснабжение)</v>
      </c>
      <c r="G114" s="3053" t="str">
        <f>INDEX(PT_DIFFERENTIATION_NTAR,MATCH(B114,PT_DIFFERENTIATION_NTAR_ID,0))</f>
        <v/>
      </c>
      <c r="H114" s="2488"/>
      <c r="I114" s="2365"/>
      <c r="J114" s="2399"/>
      <c r="K114" s="2404"/>
      <c r="L114" s="2488" t="s">
        <v>324</v>
      </c>
      <c r="M114" s="967"/>
      <c r="N114" s="960"/>
      <c r="O114" s="2250"/>
      <c r="P114" s="2250"/>
      <c r="AH114" s="2257">
        <v>0</v>
      </c>
    </row>
    <row s="34580" customFormat="1" customHeight="1" ht="18.75" hidden="1">
      <c r="A115" s="2406"/>
      <c r="B115" s="2406"/>
      <c r="C115" s="995" t="s">
        <v>1328</v>
      </c>
      <c r="D115" s="3088"/>
      <c r="E115" s="2830"/>
      <c r="F115" s="3009"/>
      <c r="G115" s="3053"/>
      <c r="H115" s="2126"/>
      <c r="I115" s="1277" t="s">
        <v>1327</v>
      </c>
      <c r="J115" s="1197"/>
      <c r="K115" s="2126"/>
      <c r="L115" s="840"/>
      <c r="M115" s="967"/>
      <c r="N115" s="960"/>
      <c r="O115" s="2250"/>
      <c r="P115" s="2250"/>
      <c r="AH115" s="2257">
        <v>0</v>
      </c>
    </row>
    <row s="34580" customFormat="1" customHeight="1" ht="0.75" hidden="1">
      <c r="A116" s="2406"/>
      <c r="B116" s="2406"/>
      <c r="C116" s="995" t="s">
        <v>1335</v>
      </c>
      <c r="D116" s="3088"/>
      <c r="E116" s="2830"/>
      <c r="F116" s="3009"/>
      <c r="G116" s="1026"/>
      <c r="H116" s="2126"/>
      <c r="I116" s="1277"/>
      <c r="J116" s="1197"/>
      <c r="K116" s="2126"/>
      <c r="L116" s="840"/>
      <c r="M116" s="967"/>
      <c r="N116" s="960"/>
      <c r="O116" s="2250"/>
      <c r="P116" s="2250"/>
      <c r="AH116" s="2257">
        <v>0</v>
      </c>
    </row>
    <row s="34580" customFormat="1" customHeight="1" ht="18.75" hidden="1">
      <c r="A117" s="2406" t="s">
        <v>248</v>
      </c>
      <c r="B117" s="2406" t="s">
        <v>249</v>
      </c>
      <c r="C117" s="995"/>
      <c r="D117" s="3088"/>
      <c r="E117" s="2830"/>
      <c r="F117" s="3009" t="str">
        <f>INDEX(PT_DIFFERENTIATION_VTAR,MATCH(A117,PT_DIFFERENTIATION_VTAR_ID,0))</f>
        <v>Тариф на техническую воду</v>
      </c>
      <c r="G117" s="3053" t="str">
        <f>INDEX(PT_DIFFERENTIATION_NTAR,MATCH(B117,PT_DIFFERENTIATION_NTAR_ID,0))</f>
        <v/>
      </c>
      <c r="H117" s="2488"/>
      <c r="I117" s="2365"/>
      <c r="J117" s="2399"/>
      <c r="K117" s="2404"/>
      <c r="L117" s="2488" t="s">
        <v>324</v>
      </c>
      <c r="M117" s="967"/>
      <c r="N117" s="960"/>
      <c r="O117" s="2250"/>
      <c r="P117" s="2250"/>
      <c r="AH117" s="2257">
        <v>0</v>
      </c>
    </row>
    <row s="34580" customFormat="1" customHeight="1" ht="18.75" hidden="1">
      <c r="A118" s="2406"/>
      <c r="B118" s="2406"/>
      <c r="C118" s="995" t="s">
        <v>1328</v>
      </c>
      <c r="D118" s="3088"/>
      <c r="E118" s="2830"/>
      <c r="F118" s="3009"/>
      <c r="G118" s="3053"/>
      <c r="H118" s="2126"/>
      <c r="I118" s="1277" t="s">
        <v>1327</v>
      </c>
      <c r="J118" s="1197"/>
      <c r="K118" s="2126"/>
      <c r="L118" s="840"/>
      <c r="M118" s="967"/>
      <c r="N118" s="960"/>
      <c r="O118" s="2250"/>
      <c r="P118" s="2250"/>
      <c r="AH118" s="2257">
        <v>0</v>
      </c>
    </row>
    <row s="34580" customFormat="1" customHeight="1" ht="0.75" hidden="1">
      <c r="A119" s="2406"/>
      <c r="B119" s="2406"/>
      <c r="C119" s="995" t="s">
        <v>1335</v>
      </c>
      <c r="D119" s="3088"/>
      <c r="E119" s="2830"/>
      <c r="F119" s="3009"/>
      <c r="G119" s="1026"/>
      <c r="H119" s="2126"/>
      <c r="I119" s="1277"/>
      <c r="J119" s="1197"/>
      <c r="K119" s="2126"/>
      <c r="L119" s="840"/>
      <c r="M119" s="967"/>
      <c r="N119" s="960"/>
      <c r="O119" s="2250"/>
      <c r="P119" s="2250"/>
      <c r="AH119" s="2257">
        <v>0</v>
      </c>
    </row>
    <row s="34580" customFormat="1" customHeight="1" ht="18.75" hidden="1">
      <c r="A120" s="2406" t="s">
        <v>253</v>
      </c>
      <c r="B120" s="2406" t="s">
        <v>254</v>
      </c>
      <c r="C120" s="995"/>
      <c r="D120" s="3088"/>
      <c r="E120" s="2830"/>
      <c r="F120" s="3009" t="str">
        <f>INDEX(PT_DIFFERENTIATION_VTAR,MATCH(A120,PT_DIFFERENTIATION_VTAR_ID,0))</f>
        <v>Тариф на транспортировку воды</v>
      </c>
      <c r="G120" s="3053" t="str">
        <f>INDEX(PT_DIFFERENTIATION_NTAR,MATCH(B120,PT_DIFFERENTIATION_NTAR_ID,0))</f>
        <v/>
      </c>
      <c r="H120" s="2488"/>
      <c r="I120" s="2365"/>
      <c r="J120" s="2399"/>
      <c r="K120" s="2404"/>
      <c r="L120" s="2488" t="s">
        <v>324</v>
      </c>
      <c r="M120" s="967"/>
      <c r="N120" s="960"/>
      <c r="O120" s="2250"/>
      <c r="P120" s="2250"/>
      <c r="AH120" s="2257">
        <v>0</v>
      </c>
    </row>
    <row s="34580" customFormat="1" customHeight="1" ht="18.75" hidden="1">
      <c r="A121" s="2406"/>
      <c r="B121" s="2406"/>
      <c r="C121" s="995" t="s">
        <v>1328</v>
      </c>
      <c r="D121" s="3088"/>
      <c r="E121" s="2830"/>
      <c r="F121" s="3009"/>
      <c r="G121" s="3053"/>
      <c r="H121" s="2126"/>
      <c r="I121" s="1277" t="s">
        <v>1327</v>
      </c>
      <c r="J121" s="1197"/>
      <c r="K121" s="2126"/>
      <c r="L121" s="840"/>
      <c r="M121" s="967"/>
      <c r="N121" s="960"/>
      <c r="O121" s="2250"/>
      <c r="P121" s="2250"/>
      <c r="AH121" s="2257">
        <v>0</v>
      </c>
    </row>
    <row s="34580" customFormat="1" customHeight="1" ht="0.75" hidden="1">
      <c r="A122" s="2406"/>
      <c r="B122" s="2406"/>
      <c r="C122" s="995" t="s">
        <v>1335</v>
      </c>
      <c r="D122" s="3088"/>
      <c r="E122" s="2830"/>
      <c r="F122" s="3009"/>
      <c r="G122" s="1026"/>
      <c r="H122" s="2126"/>
      <c r="I122" s="1277"/>
      <c r="J122" s="1197"/>
      <c r="K122" s="2126"/>
      <c r="L122" s="840"/>
      <c r="M122" s="967"/>
      <c r="N122" s="960"/>
      <c r="O122" s="2250"/>
      <c r="P122" s="2250"/>
      <c r="AH122" s="2257">
        <v>0</v>
      </c>
    </row>
    <row s="34580" customFormat="1" customHeight="1" ht="18.75" hidden="1">
      <c r="A123" s="2406" t="s">
        <v>258</v>
      </c>
      <c r="B123" s="2406" t="s">
        <v>259</v>
      </c>
      <c r="C123" s="995"/>
      <c r="D123" s="3088"/>
      <c r="E123" s="2830"/>
      <c r="F123" s="3009" t="str">
        <f>INDEX(PT_DIFFERENTIATION_VTAR,MATCH(A123,PT_DIFFERENTIATION_VTAR_ID,0))</f>
        <v>Тариф на подвоз воды</v>
      </c>
      <c r="G123" s="3053" t="str">
        <f>INDEX(PT_DIFFERENTIATION_NTAR,MATCH(B123,PT_DIFFERENTIATION_NTAR_ID,0))</f>
        <v/>
      </c>
      <c r="H123" s="2488"/>
      <c r="I123" s="2365"/>
      <c r="J123" s="2399"/>
      <c r="K123" s="2404"/>
      <c r="L123" s="2488" t="s">
        <v>324</v>
      </c>
      <c r="M123" s="967"/>
      <c r="N123" s="960"/>
      <c r="O123" s="2250"/>
      <c r="P123" s="2250"/>
      <c r="AH123" s="2257">
        <v>0</v>
      </c>
    </row>
    <row s="34580" customFormat="1" customHeight="1" ht="18.75" hidden="1">
      <c r="A124" s="2406"/>
      <c r="B124" s="2406"/>
      <c r="C124" s="995" t="s">
        <v>1328</v>
      </c>
      <c r="D124" s="3088"/>
      <c r="E124" s="2830"/>
      <c r="F124" s="3009"/>
      <c r="G124" s="3053"/>
      <c r="H124" s="2126"/>
      <c r="I124" s="1277" t="s">
        <v>1327</v>
      </c>
      <c r="J124" s="1197"/>
      <c r="K124" s="2126"/>
      <c r="L124" s="840"/>
      <c r="M124" s="967"/>
      <c r="N124" s="960"/>
      <c r="O124" s="2250"/>
      <c r="P124" s="2250"/>
      <c r="AH124" s="2257">
        <v>0</v>
      </c>
    </row>
    <row s="34580" customFormat="1" customHeight="1" ht="0.75" hidden="1">
      <c r="A125" s="2406"/>
      <c r="B125" s="2406"/>
      <c r="C125" s="995" t="s">
        <v>1335</v>
      </c>
      <c r="D125" s="3088"/>
      <c r="E125" s="2830"/>
      <c r="F125" s="3009"/>
      <c r="G125" s="1026"/>
      <c r="H125" s="2126"/>
      <c r="I125" s="1277"/>
      <c r="J125" s="1197"/>
      <c r="K125" s="2126"/>
      <c r="L125" s="840"/>
      <c r="M125" s="967"/>
      <c r="N125" s="960"/>
      <c r="O125" s="2250"/>
      <c r="P125" s="2250"/>
      <c r="AH125" s="2257">
        <v>0</v>
      </c>
    </row>
    <row s="34580" customFormat="1" customHeight="1" ht="18.75" hidden="1">
      <c r="A126" s="2406" t="s">
        <v>263</v>
      </c>
      <c r="B126" s="2406" t="s">
        <v>264</v>
      </c>
      <c r="C126" s="995"/>
      <c r="D126" s="3088"/>
      <c r="E126" s="2830"/>
      <c r="F126" s="300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053" t="str">
        <f>INDEX(PT_DIFFERENTIATION_NTAR,MATCH(B126,PT_DIFFERENTIATION_NTAR_ID,0))</f>
        <v/>
      </c>
      <c r="H126" s="2488"/>
      <c r="I126" s="2365"/>
      <c r="J126" s="2399"/>
      <c r="K126" s="2404"/>
      <c r="L126" s="2488" t="s">
        <v>324</v>
      </c>
      <c r="M126" s="967"/>
      <c r="N126" s="960"/>
      <c r="O126" s="2250"/>
      <c r="P126" s="2250"/>
      <c r="AH126" s="2257">
        <v>0</v>
      </c>
    </row>
    <row s="34580" customFormat="1" customHeight="1" ht="18.75" hidden="1">
      <c r="A127" s="2406"/>
      <c r="B127" s="2406"/>
      <c r="C127" s="995" t="s">
        <v>1328</v>
      </c>
      <c r="D127" s="3088"/>
      <c r="E127" s="2830"/>
      <c r="F127" s="3009"/>
      <c r="G127" s="3053"/>
      <c r="H127" s="2126"/>
      <c r="I127" s="1277" t="s">
        <v>1327</v>
      </c>
      <c r="J127" s="1197"/>
      <c r="K127" s="2126"/>
      <c r="L127" s="840"/>
      <c r="M127" s="967"/>
      <c r="N127" s="960"/>
      <c r="O127" s="2250"/>
      <c r="P127" s="2250"/>
      <c r="AH127" s="2257">
        <v>0</v>
      </c>
    </row>
    <row s="34580" customFormat="1" customHeight="1" ht="0.75" hidden="1">
      <c r="A128" s="2406"/>
      <c r="B128" s="2406"/>
      <c r="C128" s="995" t="s">
        <v>1335</v>
      </c>
      <c r="D128" s="3088"/>
      <c r="E128" s="2830"/>
      <c r="F128" s="3009"/>
      <c r="G128" s="1026"/>
      <c r="H128" s="2126"/>
      <c r="I128" s="1277"/>
      <c r="J128" s="1197"/>
      <c r="K128" s="2126"/>
      <c r="L128" s="840"/>
      <c r="M128" s="967"/>
      <c r="N128" s="960"/>
      <c r="O128" s="2250"/>
      <c r="P128" s="2250"/>
      <c r="AH128" s="2257">
        <v>0</v>
      </c>
    </row>
    <row s="34580" customFormat="1" customHeight="1" ht="18.75" hidden="1">
      <c r="A129" s="2406" t="s">
        <v>268</v>
      </c>
      <c r="B129" s="2406" t="s">
        <v>269</v>
      </c>
      <c r="C129" s="995"/>
      <c r="D129" s="3088"/>
      <c r="E129" s="2830"/>
      <c r="F129" s="3009" t="str">
        <f>INDEX(PT_DIFFERENTIATION_VTAR,MATCH(A129,PT_DIFFERENTIATION_VTAR_ID,0))</f>
        <v>Тариф на горячую воду (горячее водоснабжение)</v>
      </c>
      <c r="G129" s="3053" t="str">
        <f>INDEX(PT_DIFFERENTIATION_NTAR,MATCH(B129,PT_DIFFERENTIATION_NTAR_ID,0))</f>
        <v/>
      </c>
      <c r="H129" s="2488"/>
      <c r="I129" s="2365"/>
      <c r="J129" s="2399"/>
      <c r="K129" s="2404"/>
      <c r="L129" s="2488" t="s">
        <v>324</v>
      </c>
      <c r="M129" s="967"/>
      <c r="N129" s="960"/>
      <c r="O129" s="2250"/>
      <c r="P129" s="2250"/>
      <c r="AH129" s="2257">
        <v>0</v>
      </c>
    </row>
    <row s="34580" customFormat="1" customHeight="1" ht="18.75" hidden="1">
      <c r="A130" s="2406"/>
      <c r="B130" s="2406"/>
      <c r="C130" s="995" t="s">
        <v>1328</v>
      </c>
      <c r="D130" s="3088"/>
      <c r="E130" s="2830"/>
      <c r="F130" s="3009"/>
      <c r="G130" s="3053"/>
      <c r="H130" s="2126"/>
      <c r="I130" s="1277" t="s">
        <v>1327</v>
      </c>
      <c r="J130" s="1197"/>
      <c r="K130" s="2126"/>
      <c r="L130" s="840"/>
      <c r="M130" s="967"/>
      <c r="N130" s="960"/>
      <c r="O130" s="2250"/>
      <c r="P130" s="2250"/>
      <c r="AH130" s="2257">
        <v>0</v>
      </c>
    </row>
    <row s="34580" customFormat="1" customHeight="1" ht="0.75" hidden="1">
      <c r="A131" s="2406"/>
      <c r="B131" s="2406"/>
      <c r="C131" s="995" t="s">
        <v>1335</v>
      </c>
      <c r="D131" s="3088"/>
      <c r="E131" s="2830"/>
      <c r="F131" s="3009"/>
      <c r="G131" s="1026"/>
      <c r="H131" s="2126"/>
      <c r="I131" s="1277"/>
      <c r="J131" s="1197"/>
      <c r="K131" s="2126"/>
      <c r="L131" s="840"/>
      <c r="M131" s="967"/>
      <c r="N131" s="960"/>
      <c r="O131" s="2250"/>
      <c r="P131" s="2250"/>
      <c r="AH131" s="2257">
        <v>0</v>
      </c>
    </row>
    <row s="34580" customFormat="1" customHeight="1" ht="18.75" hidden="1">
      <c r="A132" s="2406" t="s">
        <v>273</v>
      </c>
      <c r="B132" s="2406" t="s">
        <v>274</v>
      </c>
      <c r="C132" s="995"/>
      <c r="D132" s="3088"/>
      <c r="E132" s="2830"/>
      <c r="F132" s="3009" t="str">
        <f>INDEX(PT_DIFFERENTIATION_VTAR,MATCH(A132,PT_DIFFERENTIATION_VTAR_ID,0))</f>
        <v>Тариф на транспортировку горячей воды</v>
      </c>
      <c r="G132" s="3053" t="str">
        <f>INDEX(PT_DIFFERENTIATION_NTAR,MATCH(B132,PT_DIFFERENTIATION_NTAR_ID,0))</f>
        <v/>
      </c>
      <c r="H132" s="2488"/>
      <c r="I132" s="2365"/>
      <c r="J132" s="2399"/>
      <c r="K132" s="2404"/>
      <c r="L132" s="2488" t="s">
        <v>324</v>
      </c>
      <c r="M132" s="967"/>
      <c r="N132" s="960"/>
      <c r="O132" s="2250"/>
      <c r="P132" s="2250"/>
      <c r="AH132" s="2257">
        <v>0</v>
      </c>
    </row>
    <row s="34580" customFormat="1" customHeight="1" ht="18.75" hidden="1">
      <c r="A133" s="2406"/>
      <c r="B133" s="2406"/>
      <c r="C133" s="995" t="s">
        <v>1328</v>
      </c>
      <c r="D133" s="3088"/>
      <c r="E133" s="2830"/>
      <c r="F133" s="3009"/>
      <c r="G133" s="3053"/>
      <c r="H133" s="2126"/>
      <c r="I133" s="1277" t="s">
        <v>1327</v>
      </c>
      <c r="J133" s="1197"/>
      <c r="K133" s="2126"/>
      <c r="L133" s="840"/>
      <c r="M133" s="967"/>
      <c r="N133" s="960"/>
      <c r="O133" s="2250"/>
      <c r="P133" s="2250"/>
      <c r="AH133" s="2257">
        <v>0</v>
      </c>
    </row>
    <row s="34580" customFormat="1" customHeight="1" ht="0.75" hidden="1">
      <c r="A134" s="2406"/>
      <c r="B134" s="2406"/>
      <c r="C134" s="995" t="s">
        <v>1335</v>
      </c>
      <c r="D134" s="3088"/>
      <c r="E134" s="2830"/>
      <c r="F134" s="3009"/>
      <c r="G134" s="1026"/>
      <c r="H134" s="2126"/>
      <c r="I134" s="1277"/>
      <c r="J134" s="1197"/>
      <c r="K134" s="2126"/>
      <c r="L134" s="840"/>
      <c r="M134" s="967"/>
      <c r="N134" s="960"/>
      <c r="O134" s="2250"/>
      <c r="P134" s="2250"/>
      <c r="AH134" s="2257">
        <v>0</v>
      </c>
    </row>
    <row s="34580" customFormat="1" customHeight="1" ht="18.75" hidden="1">
      <c r="A135" s="2406" t="s">
        <v>278</v>
      </c>
      <c r="B135" s="2406" t="s">
        <v>279</v>
      </c>
      <c r="C135" s="995"/>
      <c r="D135" s="3088"/>
      <c r="E135" s="2830"/>
      <c r="F135" s="3009" t="str">
        <f>INDEX(PT_DIFFERENTIATION_VTAR,MATCH(A135,PT_DIFFERENTIATION_VTAR_ID,0))</f>
        <v>Тариф на подключение (технологическое присоединение) к централизованной системе горячего водоснабжения</v>
      </c>
      <c r="G135" s="3053" t="str">
        <f>INDEX(PT_DIFFERENTIATION_NTAR,MATCH(B135,PT_DIFFERENTIATION_NTAR_ID,0))</f>
        <v/>
      </c>
      <c r="H135" s="2488"/>
      <c r="I135" s="2365"/>
      <c r="J135" s="2399"/>
      <c r="K135" s="2404"/>
      <c r="L135" s="2488" t="s">
        <v>324</v>
      </c>
      <c r="M135" s="967"/>
      <c r="N135" s="960"/>
      <c r="O135" s="2250"/>
      <c r="P135" s="2250"/>
      <c r="AH135" s="2257">
        <v>0</v>
      </c>
    </row>
    <row s="34580" customFormat="1" customHeight="1" ht="18.75" hidden="1">
      <c r="A136" s="2406"/>
      <c r="B136" s="2406"/>
      <c r="C136" s="995" t="s">
        <v>1328</v>
      </c>
      <c r="D136" s="3088"/>
      <c r="E136" s="2830"/>
      <c r="F136" s="3009"/>
      <c r="G136" s="3053"/>
      <c r="H136" s="2126"/>
      <c r="I136" s="1277" t="s">
        <v>1327</v>
      </c>
      <c r="J136" s="1197"/>
      <c r="K136" s="2126"/>
      <c r="L136" s="840"/>
      <c r="M136" s="967"/>
      <c r="N136" s="960"/>
      <c r="O136" s="2250"/>
      <c r="P136" s="2250"/>
      <c r="AH136" s="2257">
        <v>0</v>
      </c>
    </row>
    <row s="34580" customFormat="1" customHeight="1" ht="0.75" hidden="1">
      <c r="A137" s="2406"/>
      <c r="B137" s="2406"/>
      <c r="C137" s="995" t="s">
        <v>1335</v>
      </c>
      <c r="D137" s="3088"/>
      <c r="E137" s="2830"/>
      <c r="F137" s="3009"/>
      <c r="G137" s="1026"/>
      <c r="H137" s="2126"/>
      <c r="I137" s="1277"/>
      <c r="J137" s="1197"/>
      <c r="K137" s="2126"/>
      <c r="L137" s="840"/>
      <c r="M137" s="967"/>
      <c r="N137" s="960"/>
      <c r="O137" s="2250"/>
      <c r="P137" s="2250"/>
      <c r="AH137" s="2257">
        <v>0</v>
      </c>
    </row>
    <row s="34580" customFormat="1" customHeight="1" ht="18.75" hidden="1">
      <c r="A138" s="2406" t="s">
        <v>283</v>
      </c>
      <c r="B138" s="2406" t="s">
        <v>284</v>
      </c>
      <c r="C138" s="995"/>
      <c r="D138" s="3088"/>
      <c r="E138" s="2830"/>
      <c r="F138" s="3009" t="str">
        <f>INDEX(PT_DIFFERENTIATION_VTAR,MATCH(A138,PT_DIFFERENTIATION_VTAR_ID,0))</f>
        <v>Тариф на водоотведение</v>
      </c>
      <c r="G138" s="3053" t="str">
        <f>INDEX(PT_DIFFERENTIATION_NTAR,MATCH(B138,PT_DIFFERENTIATION_NTAR_ID,0))</f>
        <v/>
      </c>
      <c r="H138" s="2488"/>
      <c r="I138" s="2365"/>
      <c r="J138" s="2399"/>
      <c r="K138" s="2404"/>
      <c r="L138" s="2488" t="s">
        <v>324</v>
      </c>
      <c r="M138" s="967"/>
      <c r="N138" s="960"/>
      <c r="O138" s="2250"/>
      <c r="P138" s="2250"/>
      <c r="AH138" s="2257">
        <v>0</v>
      </c>
    </row>
    <row s="34580" customFormat="1" customHeight="1" ht="18.75" hidden="1">
      <c r="A139" s="2406"/>
      <c r="B139" s="2406"/>
      <c r="C139" s="995" t="s">
        <v>1328</v>
      </c>
      <c r="D139" s="3088"/>
      <c r="E139" s="2830"/>
      <c r="F139" s="3009"/>
      <c r="G139" s="3053"/>
      <c r="H139" s="2126"/>
      <c r="I139" s="1277" t="s">
        <v>1327</v>
      </c>
      <c r="J139" s="1197"/>
      <c r="K139" s="2126"/>
      <c r="L139" s="840"/>
      <c r="M139" s="967"/>
      <c r="N139" s="960"/>
      <c r="O139" s="2250"/>
      <c r="P139" s="2250"/>
      <c r="AH139" s="2257">
        <v>0</v>
      </c>
    </row>
    <row s="34580" customFormat="1" customHeight="1" ht="0.75" hidden="1">
      <c r="A140" s="2406"/>
      <c r="B140" s="2406"/>
      <c r="C140" s="995" t="s">
        <v>1335</v>
      </c>
      <c r="D140" s="3088"/>
      <c r="E140" s="2830"/>
      <c r="F140" s="3009"/>
      <c r="G140" s="1026"/>
      <c r="H140" s="2126"/>
      <c r="I140" s="1277"/>
      <c r="J140" s="1197"/>
      <c r="K140" s="2126"/>
      <c r="L140" s="840"/>
      <c r="M140" s="967"/>
      <c r="N140" s="960"/>
      <c r="O140" s="2250"/>
      <c r="P140" s="2250"/>
      <c r="AH140" s="2257">
        <v>0</v>
      </c>
    </row>
    <row s="34580" customFormat="1" customHeight="1" ht="18.75" hidden="1">
      <c r="A141" s="2406" t="s">
        <v>288</v>
      </c>
      <c r="B141" s="2406" t="s">
        <v>289</v>
      </c>
      <c r="C141" s="995"/>
      <c r="D141" s="3088"/>
      <c r="E141" s="2830"/>
      <c r="F141" s="3009" t="str">
        <f>INDEX(PT_DIFFERENTIATION_VTAR,MATCH(A141,PT_DIFFERENTIATION_VTAR_ID,0))</f>
        <v>Тариф на транспортировку сточных вод</v>
      </c>
      <c r="G141" s="3053" t="str">
        <f>INDEX(PT_DIFFERENTIATION_NTAR,MATCH(B141,PT_DIFFERENTIATION_NTAR_ID,0))</f>
        <v/>
      </c>
      <c r="H141" s="2488"/>
      <c r="I141" s="2365"/>
      <c r="J141" s="2399"/>
      <c r="K141" s="2404"/>
      <c r="L141" s="2488" t="s">
        <v>324</v>
      </c>
      <c r="M141" s="967"/>
      <c r="N141" s="960"/>
      <c r="O141" s="2250"/>
      <c r="P141" s="2250"/>
      <c r="AH141" s="2257">
        <v>0</v>
      </c>
    </row>
    <row s="34580" customFormat="1" customHeight="1" ht="18.75" hidden="1">
      <c r="A142" s="2406"/>
      <c r="B142" s="2406"/>
      <c r="C142" s="995" t="s">
        <v>1328</v>
      </c>
      <c r="D142" s="3088"/>
      <c r="E142" s="2830"/>
      <c r="F142" s="3009"/>
      <c r="G142" s="3053"/>
      <c r="H142" s="2126"/>
      <c r="I142" s="1277" t="s">
        <v>1327</v>
      </c>
      <c r="J142" s="1197"/>
      <c r="K142" s="2126"/>
      <c r="L142" s="840"/>
      <c r="M142" s="967"/>
      <c r="N142" s="960"/>
      <c r="O142" s="2250"/>
      <c r="P142" s="2250"/>
      <c r="AH142" s="2257">
        <v>0</v>
      </c>
    </row>
    <row s="34580" customFormat="1" customHeight="1" ht="0.75" hidden="1">
      <c r="A143" s="2406"/>
      <c r="B143" s="2406"/>
      <c r="C143" s="995" t="s">
        <v>1335</v>
      </c>
      <c r="D143" s="3088"/>
      <c r="E143" s="2830"/>
      <c r="F143" s="3009"/>
      <c r="G143" s="1026"/>
      <c r="H143" s="2126"/>
      <c r="I143" s="1277"/>
      <c r="J143" s="1197"/>
      <c r="K143" s="2126"/>
      <c r="L143" s="840"/>
      <c r="M143" s="967"/>
      <c r="N143" s="960"/>
      <c r="O143" s="2250"/>
      <c r="P143" s="2250"/>
      <c r="AH143" s="2257">
        <v>0</v>
      </c>
    </row>
    <row s="34580" customFormat="1" customHeight="1" ht="18.75" hidden="1">
      <c r="A144" s="2406" t="s">
        <v>293</v>
      </c>
      <c r="B144" s="2406" t="s">
        <v>294</v>
      </c>
      <c r="C144" s="995"/>
      <c r="D144" s="3088"/>
      <c r="E144" s="2830"/>
      <c r="F144" s="3009" t="str">
        <f>INDEX(PT_DIFFERENTIATION_VTAR,MATCH(A144,PT_DIFFERENTIATION_VTAR_ID,0))</f>
        <v>Тариф на подключение (технологическое присоединение) к централизованной системе водоотведения</v>
      </c>
      <c r="G144" s="3053" t="str">
        <f>INDEX(PT_DIFFERENTIATION_NTAR,MATCH(B144,PT_DIFFERENTIATION_NTAR_ID,0))</f>
        <v/>
      </c>
      <c r="H144" s="2488"/>
      <c r="I144" s="2365"/>
      <c r="J144" s="2399"/>
      <c r="K144" s="2404"/>
      <c r="L144" s="2488" t="s">
        <v>324</v>
      </c>
      <c r="M144" s="967"/>
      <c r="N144" s="960"/>
      <c r="O144" s="2250"/>
      <c r="P144" s="2250"/>
      <c r="AH144" s="2257">
        <v>0</v>
      </c>
    </row>
    <row s="34580" customFormat="1" customHeight="1" ht="18.75" hidden="1">
      <c r="A145" s="2406"/>
      <c r="B145" s="2406"/>
      <c r="C145" s="995" t="s">
        <v>1328</v>
      </c>
      <c r="D145" s="3088"/>
      <c r="E145" s="2830"/>
      <c r="F145" s="3009"/>
      <c r="G145" s="3053"/>
      <c r="H145" s="2126"/>
      <c r="I145" s="1277" t="s">
        <v>1327</v>
      </c>
      <c r="J145" s="1197"/>
      <c r="K145" s="2126"/>
      <c r="L145" s="840"/>
      <c r="M145" s="967"/>
      <c r="N145" s="960"/>
      <c r="O145" s="2250"/>
      <c r="P145" s="2250"/>
      <c r="AH145" s="2257">
        <v>0</v>
      </c>
    </row>
    <row s="34580" customFormat="1" customHeight="1" ht="1.05">
      <c r="A146" s="2406"/>
      <c r="B146" s="2406"/>
      <c r="C146" s="995" t="s">
        <v>1335</v>
      </c>
      <c r="D146" s="3088"/>
      <c r="E146" s="2830"/>
      <c r="F146" s="3009"/>
      <c r="G146" s="1026"/>
      <c r="H146" s="2126"/>
      <c r="I146" s="1277"/>
      <c r="J146" s="1197"/>
      <c r="K146" s="2126"/>
      <c r="L146" s="840"/>
      <c r="M146" s="967"/>
      <c r="N146" s="960"/>
      <c r="O146" s="2250"/>
      <c r="P146" s="2250"/>
      <c r="AH146" s="2257">
        <v>1</v>
      </c>
    </row>
    <row customHeight="1" ht="19.95">
      <c r="A147" s="2406"/>
      <c r="B147" s="2406"/>
      <c r="D147" s="1002"/>
      <c r="E147" s="773" t="s">
        <v>91</v>
      </c>
      <c r="F147" s="308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086"/>
      <c r="H147" s="3086"/>
      <c r="I147" s="3086"/>
      <c r="J147" s="3086"/>
      <c r="K147" s="3086"/>
      <c r="L147" s="3086"/>
      <c r="M147" s="923"/>
      <c r="N147" s="960"/>
      <c r="AH147" s="1000">
        <v>19</v>
      </c>
    </row>
    <row s="34580" customFormat="1" customHeight="1" ht="60.75" hidden="1">
      <c r="A148" s="2406" t="s">
        <v>175</v>
      </c>
      <c r="B148" s="2406" t="s">
        <v>176</v>
      </c>
      <c r="C148" s="995"/>
      <c r="D148" s="3088"/>
      <c r="E148" s="2830"/>
      <c r="F148" s="300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053" t="str">
        <f>INDEX(PT_DIFFERENTIATION_NTAR,MATCH(B148,PT_DIFFERENTIATION_NTAR_ID,0))</f>
        <v/>
      </c>
      <c r="H148" s="2488"/>
      <c r="I148" s="2365"/>
      <c r="J148" s="2399"/>
      <c r="K148" s="2404"/>
      <c r="L148" s="2488" t="s">
        <v>324</v>
      </c>
      <c r="M148" s="27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960"/>
      <c r="O148" s="2250"/>
      <c r="P148" s="2250"/>
      <c r="AH148" s="2257">
        <v>0</v>
      </c>
    </row>
    <row s="34580" customFormat="1" customHeight="1" ht="18.75" hidden="1">
      <c r="A149" s="2406"/>
      <c r="B149" s="2406"/>
      <c r="C149" s="995" t="s">
        <v>1328</v>
      </c>
      <c r="D149" s="3088"/>
      <c r="E149" s="2830"/>
      <c r="F149" s="3009"/>
      <c r="G149" s="3053"/>
      <c r="H149" s="2126"/>
      <c r="I149" s="1277" t="s">
        <v>1327</v>
      </c>
      <c r="J149" s="1197"/>
      <c r="K149" s="2126"/>
      <c r="L149" s="840"/>
      <c r="M149" s="2796"/>
      <c r="N149" s="960"/>
      <c r="O149" s="2250"/>
      <c r="P149" s="2250"/>
      <c r="AH149" s="2257">
        <v>0</v>
      </c>
    </row>
    <row s="34580" customFormat="1" customHeight="1" ht="0.75" hidden="1">
      <c r="A150" s="2406"/>
      <c r="B150" s="2406"/>
      <c r="C150" s="995" t="s">
        <v>1335</v>
      </c>
      <c r="D150" s="3088"/>
      <c r="E150" s="2830"/>
      <c r="F150" s="3009"/>
      <c r="G150" s="1026"/>
      <c r="H150" s="2126"/>
      <c r="I150" s="1277"/>
      <c r="J150" s="1197"/>
      <c r="K150" s="2126"/>
      <c r="L150" s="840"/>
      <c r="M150" s="2796"/>
      <c r="N150" s="960"/>
      <c r="O150" s="2250"/>
      <c r="P150" s="2250"/>
      <c r="AH150" s="2257">
        <v>0</v>
      </c>
    </row>
    <row s="34580" customFormat="1" customHeight="1" ht="45" hidden="1">
      <c r="A151" s="2406" t="s">
        <v>180</v>
      </c>
      <c r="B151" s="2406" t="s">
        <v>181</v>
      </c>
      <c r="C151" s="995"/>
      <c r="D151" s="3088"/>
      <c r="E151" s="2830"/>
      <c r="F151" s="3009" t="str">
        <f>INDEX(PT_DIFFERENTIATION_VTAR,MATCH(A151,PT_DIFFERENTIATION_VTAR_ID,0))</f>
        <v/>
      </c>
      <c r="G151" s="3053" t="str">
        <f>INDEX(PT_DIFFERENTIATION_NTAR,MATCH(B151,PT_DIFFERENTIATION_NTAR_ID,0))</f>
        <v/>
      </c>
      <c r="H151" s="2488"/>
      <c r="I151" s="2365"/>
      <c r="J151" s="2399"/>
      <c r="K151" s="2404"/>
      <c r="L151" s="2488" t="s">
        <v>324</v>
      </c>
      <c r="M151" s="2797"/>
      <c r="N151" s="960"/>
      <c r="O151" s="2250"/>
      <c r="P151" s="2250"/>
      <c r="AH151" s="2257">
        <v>0</v>
      </c>
    </row>
    <row s="34580" customFormat="1" customHeight="1" ht="18.75" hidden="1">
      <c r="A152" s="2406"/>
      <c r="B152" s="2406"/>
      <c r="C152" s="995" t="s">
        <v>1328</v>
      </c>
      <c r="D152" s="3088"/>
      <c r="E152" s="2830"/>
      <c r="F152" s="3009"/>
      <c r="G152" s="3053"/>
      <c r="H152" s="2126"/>
      <c r="I152" s="1277" t="s">
        <v>1327</v>
      </c>
      <c r="J152" s="1197"/>
      <c r="K152" s="2126"/>
      <c r="L152" s="840"/>
      <c r="M152" s="2487"/>
      <c r="N152" s="960"/>
      <c r="O152" s="2250"/>
      <c r="P152" s="2250"/>
      <c r="AH152" s="2257">
        <v>0</v>
      </c>
    </row>
    <row s="34580" customFormat="1" customHeight="1" ht="0.75" hidden="1">
      <c r="A153" s="2406"/>
      <c r="B153" s="2406"/>
      <c r="C153" s="995" t="s">
        <v>1335</v>
      </c>
      <c r="D153" s="3088"/>
      <c r="E153" s="2830"/>
      <c r="F153" s="3009"/>
      <c r="G153" s="1026"/>
      <c r="H153" s="2126"/>
      <c r="I153" s="1277"/>
      <c r="J153" s="1197"/>
      <c r="K153" s="2126"/>
      <c r="L153" s="840"/>
      <c r="M153" s="967"/>
      <c r="N153" s="960"/>
      <c r="O153" s="2250"/>
      <c r="P153" s="2250"/>
      <c r="AH153" s="2257">
        <v>0</v>
      </c>
    </row>
    <row s="34580" customFormat="1" customHeight="1" ht="45" hidden="1">
      <c r="A154" s="2406" t="s">
        <v>187</v>
      </c>
      <c r="B154" s="2406" t="s">
        <v>188</v>
      </c>
      <c r="C154" s="995"/>
      <c r="D154" s="3088"/>
      <c r="E154" s="2830"/>
      <c r="F154" s="300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053" t="str">
        <f>INDEX(PT_DIFFERENTIATION_NTAR,MATCH(B154,PT_DIFFERENTIATION_NTAR_ID,0))</f>
        <v/>
      </c>
      <c r="H154" s="2488"/>
      <c r="I154" s="2365"/>
      <c r="J154" s="2399"/>
      <c r="K154" s="2404"/>
      <c r="L154" s="2488" t="s">
        <v>324</v>
      </c>
      <c r="M154" s="967"/>
      <c r="N154" s="960"/>
      <c r="O154" s="2250"/>
      <c r="P154" s="2250"/>
      <c r="AH154" s="2257">
        <v>0</v>
      </c>
    </row>
    <row s="34580" customFormat="1" customHeight="1" ht="18.75" hidden="1">
      <c r="A155" s="2406"/>
      <c r="B155" s="2406"/>
      <c r="C155" s="995" t="s">
        <v>1328</v>
      </c>
      <c r="D155" s="3088"/>
      <c r="E155" s="2830"/>
      <c r="F155" s="3009"/>
      <c r="G155" s="3053"/>
      <c r="H155" s="2126"/>
      <c r="I155" s="1277" t="s">
        <v>1327</v>
      </c>
      <c r="J155" s="1197"/>
      <c r="K155" s="2126"/>
      <c r="L155" s="840"/>
      <c r="M155" s="967"/>
      <c r="N155" s="960"/>
      <c r="O155" s="2250"/>
      <c r="P155" s="2250"/>
      <c r="AH155" s="2257">
        <v>0</v>
      </c>
    </row>
    <row s="34580" customFormat="1" customHeight="1" ht="0.75" hidden="1">
      <c r="A156" s="2406"/>
      <c r="B156" s="2406"/>
      <c r="C156" s="995" t="s">
        <v>1335</v>
      </c>
      <c r="D156" s="3088"/>
      <c r="E156" s="2830"/>
      <c r="F156" s="3009"/>
      <c r="G156" s="1026"/>
      <c r="H156" s="2126"/>
      <c r="I156" s="1277"/>
      <c r="J156" s="1197"/>
      <c r="K156" s="2126"/>
      <c r="L156" s="840"/>
      <c r="M156" s="967"/>
      <c r="N156" s="960"/>
      <c r="O156" s="2250"/>
      <c r="P156" s="2250"/>
      <c r="AH156" s="2257">
        <v>0</v>
      </c>
    </row>
    <row s="34580" customFormat="1" customHeight="1" ht="45" hidden="1">
      <c r="A157" s="2406" t="s">
        <v>193</v>
      </c>
      <c r="B157" s="2406" t="s">
        <v>194</v>
      </c>
      <c r="C157" s="995"/>
      <c r="D157" s="3088"/>
      <c r="E157" s="2830"/>
      <c r="F157" s="300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053" t="str">
        <f>INDEX(PT_DIFFERENTIATION_NTAR,MATCH(B157,PT_DIFFERENTIATION_NTAR_ID,0))</f>
        <v/>
      </c>
      <c r="H157" s="2488"/>
      <c r="I157" s="2365"/>
      <c r="J157" s="2399"/>
      <c r="K157" s="2404"/>
      <c r="L157" s="2488" t="s">
        <v>324</v>
      </c>
      <c r="M157" s="967"/>
      <c r="N157" s="960"/>
      <c r="O157" s="2250"/>
      <c r="P157" s="2250"/>
      <c r="AH157" s="2257">
        <v>0</v>
      </c>
    </row>
    <row s="34580" customFormat="1" customHeight="1" ht="18.75" hidden="1">
      <c r="A158" s="2406"/>
      <c r="B158" s="2406"/>
      <c r="C158" s="995" t="s">
        <v>1328</v>
      </c>
      <c r="D158" s="3088"/>
      <c r="E158" s="2830"/>
      <c r="F158" s="3009"/>
      <c r="G158" s="3053"/>
      <c r="H158" s="2126"/>
      <c r="I158" s="1277" t="s">
        <v>1327</v>
      </c>
      <c r="J158" s="1197"/>
      <c r="K158" s="2126"/>
      <c r="L158" s="840"/>
      <c r="M158" s="967"/>
      <c r="N158" s="960"/>
      <c r="O158" s="2250"/>
      <c r="P158" s="2250"/>
      <c r="AH158" s="2257">
        <v>0</v>
      </c>
    </row>
    <row s="34580" customFormat="1" customHeight="1" ht="0.75" hidden="1">
      <c r="A159" s="2406"/>
      <c r="B159" s="2406"/>
      <c r="C159" s="995" t="s">
        <v>1335</v>
      </c>
      <c r="D159" s="3088"/>
      <c r="E159" s="2830"/>
      <c r="F159" s="3009"/>
      <c r="G159" s="1026"/>
      <c r="H159" s="2126"/>
      <c r="I159" s="1277"/>
      <c r="J159" s="1197"/>
      <c r="K159" s="2126"/>
      <c r="L159" s="840"/>
      <c r="M159" s="967"/>
      <c r="N159" s="960"/>
      <c r="O159" s="2250"/>
      <c r="P159" s="2250"/>
      <c r="AH159" s="2257">
        <v>0</v>
      </c>
    </row>
    <row s="34580" customFormat="1" customHeight="1" ht="18.75" hidden="1">
      <c r="A160" s="2406" t="s">
        <v>199</v>
      </c>
      <c r="B160" s="2406" t="s">
        <v>200</v>
      </c>
      <c r="C160" s="995"/>
      <c r="D160" s="3088"/>
      <c r="E160" s="2830"/>
      <c r="F160" s="3009" t="str">
        <f>INDEX(PT_DIFFERENTIATION_VTAR,MATCH(A160,PT_DIFFERENTIATION_VTAR_ID,0))</f>
        <v>Тарифы на услуги по передаче тепловой энергии</v>
      </c>
      <c r="G160" s="3053" t="str">
        <f>INDEX(PT_DIFFERENTIATION_NTAR,MATCH(B160,PT_DIFFERENTIATION_NTAR_ID,0))</f>
        <v/>
      </c>
      <c r="H160" s="2488"/>
      <c r="I160" s="2365"/>
      <c r="J160" s="2399"/>
      <c r="K160" s="2404"/>
      <c r="L160" s="2488" t="s">
        <v>324</v>
      </c>
      <c r="M160" s="967"/>
      <c r="N160" s="960"/>
      <c r="O160" s="2250"/>
      <c r="P160" s="2250"/>
      <c r="AH160" s="2257">
        <v>0</v>
      </c>
    </row>
    <row s="34580" customFormat="1" customHeight="1" ht="18.75" hidden="1">
      <c r="A161" s="2406"/>
      <c r="B161" s="2406"/>
      <c r="C161" s="995" t="s">
        <v>1328</v>
      </c>
      <c r="D161" s="3088"/>
      <c r="E161" s="2830"/>
      <c r="F161" s="3009"/>
      <c r="G161" s="3053"/>
      <c r="H161" s="2126"/>
      <c r="I161" s="1277" t="s">
        <v>1327</v>
      </c>
      <c r="J161" s="1197"/>
      <c r="K161" s="2126"/>
      <c r="L161" s="840"/>
      <c r="M161" s="967"/>
      <c r="N161" s="960"/>
      <c r="O161" s="2250"/>
      <c r="P161" s="2250"/>
      <c r="AH161" s="2257">
        <v>0</v>
      </c>
    </row>
    <row s="34580" customFormat="1" customHeight="1" ht="0.75" hidden="1">
      <c r="A162" s="2406"/>
      <c r="B162" s="2406"/>
      <c r="C162" s="995" t="s">
        <v>1335</v>
      </c>
      <c r="D162" s="3088"/>
      <c r="E162" s="2830"/>
      <c r="F162" s="3009"/>
      <c r="G162" s="1026"/>
      <c r="H162" s="2126"/>
      <c r="I162" s="1277"/>
      <c r="J162" s="1197"/>
      <c r="K162" s="2126"/>
      <c r="L162" s="840"/>
      <c r="M162" s="967"/>
      <c r="N162" s="960"/>
      <c r="O162" s="2250"/>
      <c r="P162" s="2250"/>
      <c r="AH162" s="2257">
        <v>0</v>
      </c>
    </row>
    <row s="34580" customFormat="1" customHeight="1" ht="18.75" hidden="1">
      <c r="A163" s="2406" t="s">
        <v>205</v>
      </c>
      <c r="B163" s="2406" t="s">
        <v>206</v>
      </c>
      <c r="C163" s="995"/>
      <c r="D163" s="3088"/>
      <c r="E163" s="2830"/>
      <c r="F163" s="3009" t="str">
        <f>INDEX(PT_DIFFERENTIATION_VTAR,MATCH(A163,PT_DIFFERENTIATION_VTAR_ID,0))</f>
        <v>Тарифы на услуги по передаче теплоносителя</v>
      </c>
      <c r="G163" s="3053" t="str">
        <f>INDEX(PT_DIFFERENTIATION_NTAR,MATCH(B163,PT_DIFFERENTIATION_NTAR_ID,0))</f>
        <v/>
      </c>
      <c r="H163" s="2488"/>
      <c r="I163" s="2365"/>
      <c r="J163" s="2399"/>
      <c r="K163" s="2404"/>
      <c r="L163" s="2488" t="s">
        <v>324</v>
      </c>
      <c r="M163" s="967"/>
      <c r="N163" s="960"/>
      <c r="O163" s="2250"/>
      <c r="P163" s="2250"/>
      <c r="AH163" s="2257">
        <v>0</v>
      </c>
    </row>
    <row s="34580" customFormat="1" customHeight="1" ht="18.75" hidden="1">
      <c r="A164" s="2406"/>
      <c r="B164" s="2406"/>
      <c r="C164" s="995" t="s">
        <v>1328</v>
      </c>
      <c r="D164" s="3088"/>
      <c r="E164" s="2830"/>
      <c r="F164" s="3009"/>
      <c r="G164" s="3053"/>
      <c r="H164" s="2126"/>
      <c r="I164" s="1277" t="s">
        <v>1327</v>
      </c>
      <c r="J164" s="1197"/>
      <c r="K164" s="2126"/>
      <c r="L164" s="840"/>
      <c r="M164" s="967"/>
      <c r="N164" s="960"/>
      <c r="O164" s="2250"/>
      <c r="P164" s="2250"/>
      <c r="AH164" s="2257">
        <v>0</v>
      </c>
    </row>
    <row s="34580" customFormat="1" customHeight="1" ht="0.75" hidden="1">
      <c r="A165" s="2406"/>
      <c r="B165" s="2406"/>
      <c r="C165" s="995" t="s">
        <v>1335</v>
      </c>
      <c r="D165" s="3088"/>
      <c r="E165" s="2830"/>
      <c r="F165" s="3009"/>
      <c r="G165" s="1026"/>
      <c r="H165" s="2126"/>
      <c r="I165" s="1277"/>
      <c r="J165" s="1197"/>
      <c r="K165" s="2126"/>
      <c r="L165" s="840"/>
      <c r="M165" s="967"/>
      <c r="N165" s="960"/>
      <c r="O165" s="2250"/>
      <c r="P165" s="2250"/>
      <c r="AH165" s="2257">
        <v>0</v>
      </c>
    </row>
    <row s="34580" customFormat="1" customHeight="1" ht="18.75" hidden="1">
      <c r="A166" s="2406" t="s">
        <v>211</v>
      </c>
      <c r="B166" s="2406" t="s">
        <v>212</v>
      </c>
      <c r="C166" s="995"/>
      <c r="D166" s="3088"/>
      <c r="E166" s="2830"/>
      <c r="F166" s="300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053" t="str">
        <f>INDEX(PT_DIFFERENTIATION_NTAR,MATCH(B166,PT_DIFFERENTIATION_NTAR_ID,0))</f>
        <v/>
      </c>
      <c r="H166" s="2488"/>
      <c r="I166" s="2365"/>
      <c r="J166" s="2399"/>
      <c r="K166" s="2404"/>
      <c r="L166" s="2488" t="s">
        <v>324</v>
      </c>
      <c r="M166" s="967"/>
      <c r="N166" s="960"/>
      <c r="O166" s="2250"/>
      <c r="P166" s="2250"/>
      <c r="AH166" s="2257">
        <v>0</v>
      </c>
    </row>
    <row s="34580" customFormat="1" customHeight="1" ht="18.75" hidden="1">
      <c r="A167" s="2406"/>
      <c r="B167" s="2406"/>
      <c r="C167" s="995" t="s">
        <v>1328</v>
      </c>
      <c r="D167" s="3088"/>
      <c r="E167" s="2830"/>
      <c r="F167" s="3009"/>
      <c r="G167" s="3053"/>
      <c r="H167" s="2126"/>
      <c r="I167" s="1277" t="s">
        <v>1327</v>
      </c>
      <c r="J167" s="1197"/>
      <c r="K167" s="2126"/>
      <c r="L167" s="840"/>
      <c r="M167" s="967"/>
      <c r="N167" s="960"/>
      <c r="O167" s="2250"/>
      <c r="P167" s="2250"/>
      <c r="AH167" s="2257">
        <v>0</v>
      </c>
    </row>
    <row s="34580" customFormat="1" customHeight="1" ht="0.75" hidden="1">
      <c r="A168" s="2406"/>
      <c r="B168" s="2406"/>
      <c r="C168" s="995" t="s">
        <v>1335</v>
      </c>
      <c r="D168" s="3088"/>
      <c r="E168" s="2830"/>
      <c r="F168" s="3009"/>
      <c r="G168" s="1026"/>
      <c r="H168" s="2126"/>
      <c r="I168" s="1277"/>
      <c r="J168" s="1197"/>
      <c r="K168" s="2126"/>
      <c r="L168" s="840"/>
      <c r="M168" s="967"/>
      <c r="N168" s="960"/>
      <c r="O168" s="2250"/>
      <c r="P168" s="2250"/>
      <c r="AH168" s="2257">
        <v>0</v>
      </c>
    </row>
    <row s="34580" customFormat="1" customHeight="1" ht="18.75" hidden="1">
      <c r="A169" s="2406" t="s">
        <v>217</v>
      </c>
      <c r="B169" s="2406" t="s">
        <v>218</v>
      </c>
      <c r="C169" s="995"/>
      <c r="D169" s="3088"/>
      <c r="E169" s="2830"/>
      <c r="F169" s="3009" t="str">
        <f>INDEX(PT_DIFFERENTIATION_VTAR,MATCH(A169,PT_DIFFERENTIATION_VTAR_ID,0))</f>
        <v>Плата за подключение (технологическое присоединение) к системе теплоснабжения</v>
      </c>
      <c r="G169" s="3053" t="str">
        <f>INDEX(PT_DIFFERENTIATION_NTAR,MATCH(B169,PT_DIFFERENTIATION_NTAR_ID,0))</f>
        <v/>
      </c>
      <c r="H169" s="2488"/>
      <c r="I169" s="2365"/>
      <c r="J169" s="2399"/>
      <c r="K169" s="2404"/>
      <c r="L169" s="2488" t="s">
        <v>324</v>
      </c>
      <c r="M169" s="967"/>
      <c r="N169" s="960"/>
      <c r="O169" s="2250"/>
      <c r="P169" s="2250"/>
      <c r="AH169" s="2257">
        <v>0</v>
      </c>
    </row>
    <row s="34580" customFormat="1" customHeight="1" ht="18.75" hidden="1">
      <c r="A170" s="2406"/>
      <c r="B170" s="2406"/>
      <c r="C170" s="995" t="s">
        <v>1328</v>
      </c>
      <c r="D170" s="3088"/>
      <c r="E170" s="2830"/>
      <c r="F170" s="3009"/>
      <c r="G170" s="3053"/>
      <c r="H170" s="2126"/>
      <c r="I170" s="1277" t="s">
        <v>1327</v>
      </c>
      <c r="J170" s="1197"/>
      <c r="K170" s="2126"/>
      <c r="L170" s="840"/>
      <c r="M170" s="967"/>
      <c r="N170" s="960"/>
      <c r="O170" s="2250"/>
      <c r="P170" s="2250"/>
      <c r="AH170" s="2257">
        <v>0</v>
      </c>
    </row>
    <row s="34580" customFormat="1" customHeight="1" ht="0.75" hidden="1">
      <c r="A171" s="2406"/>
      <c r="B171" s="2406"/>
      <c r="C171" s="995" t="s">
        <v>1335</v>
      </c>
      <c r="D171" s="3088"/>
      <c r="E171" s="2830"/>
      <c r="F171" s="3009"/>
      <c r="G171" s="1026"/>
      <c r="H171" s="2126"/>
      <c r="I171" s="1277"/>
      <c r="J171" s="1197"/>
      <c r="K171" s="2126"/>
      <c r="L171" s="840"/>
      <c r="M171" s="967"/>
      <c r="N171" s="960"/>
      <c r="O171" s="2250"/>
      <c r="P171" s="2250"/>
      <c r="AH171" s="2257">
        <v>0</v>
      </c>
    </row>
    <row s="34580" customFormat="1" customHeight="1" ht="18.75" hidden="1">
      <c r="A172" s="2406" t="s">
        <v>223</v>
      </c>
      <c r="B172" s="2406" t="s">
        <v>224</v>
      </c>
      <c r="C172" s="995"/>
      <c r="D172" s="3088"/>
      <c r="E172" s="2830"/>
      <c r="F172" s="3009" t="str">
        <f>INDEX(PT_DIFFERENTIATION_VTAR,MATCH(A172,PT_DIFFERENTIATION_VTAR_ID,0))</f>
        <v>Плата за подключение (технологическое присоединение) к системе теплоснабжения (индивидуальная)</v>
      </c>
      <c r="G172" s="3053" t="str">
        <f>INDEX(PT_DIFFERENTIATION_NTAR,MATCH(B172,PT_DIFFERENTIATION_NTAR_ID,0))</f>
        <v/>
      </c>
      <c r="H172" s="2615"/>
      <c r="I172" s="2365"/>
      <c r="J172" s="2399"/>
      <c r="K172" s="2404"/>
      <c r="L172" s="2615" t="s">
        <v>324</v>
      </c>
      <c r="M172" s="967"/>
      <c r="N172" s="960"/>
      <c r="O172" s="2250"/>
      <c r="P172" s="2250"/>
      <c r="AH172" s="2257">
        <v>0</v>
      </c>
    </row>
    <row s="34580" customFormat="1" customHeight="1" ht="18.75" hidden="1">
      <c r="A173" s="2406"/>
      <c r="B173" s="2406"/>
      <c r="C173" s="995" t="s">
        <v>1328</v>
      </c>
      <c r="D173" s="3088"/>
      <c r="E173" s="2830"/>
      <c r="F173" s="3009"/>
      <c r="G173" s="3053"/>
      <c r="H173" s="2126"/>
      <c r="I173" s="1277" t="s">
        <v>1327</v>
      </c>
      <c r="J173" s="1197"/>
      <c r="K173" s="2126"/>
      <c r="L173" s="840"/>
      <c r="M173" s="967"/>
      <c r="N173" s="960"/>
      <c r="O173" s="2250"/>
      <c r="P173" s="2250"/>
      <c r="AH173" s="2257">
        <v>0</v>
      </c>
    </row>
    <row s="34580" customFormat="1" customHeight="1" ht="0.75" hidden="1">
      <c r="A174" s="2406"/>
      <c r="B174" s="2406"/>
      <c r="C174" s="995" t="s">
        <v>1335</v>
      </c>
      <c r="D174" s="3088"/>
      <c r="E174" s="2830"/>
      <c r="F174" s="3009"/>
      <c r="G174" s="1026"/>
      <c r="H174" s="2126"/>
      <c r="I174" s="1277"/>
      <c r="J174" s="1197"/>
      <c r="K174" s="2126"/>
      <c r="L174" s="840"/>
      <c r="M174" s="967"/>
      <c r="N174" s="960"/>
      <c r="O174" s="2250"/>
      <c r="P174" s="2250"/>
      <c r="AH174" s="2257">
        <v>0</v>
      </c>
    </row>
    <row s="34580" customFormat="1" customHeight="1" ht="18.75" hidden="1">
      <c r="A175" s="2406" t="s">
        <v>243</v>
      </c>
      <c r="B175" s="2406" t="s">
        <v>244</v>
      </c>
      <c r="C175" s="995"/>
      <c r="D175" s="3088"/>
      <c r="E175" s="2830"/>
      <c r="F175" s="3009" t="str">
        <f>INDEX(PT_DIFFERENTIATION_VTAR,MATCH(A175,PT_DIFFERENTIATION_VTAR_ID,0))</f>
        <v>Тариф на питьевую воду (питьевое водоснабжение)</v>
      </c>
      <c r="G175" s="3053" t="str">
        <f>INDEX(PT_DIFFERENTIATION_NTAR,MATCH(B175,PT_DIFFERENTIATION_NTAR_ID,0))</f>
        <v/>
      </c>
      <c r="H175" s="2488"/>
      <c r="I175" s="2365"/>
      <c r="J175" s="2399"/>
      <c r="K175" s="2404"/>
      <c r="L175" s="2488" t="s">
        <v>324</v>
      </c>
      <c r="M175" s="967"/>
      <c r="N175" s="960"/>
      <c r="O175" s="2250"/>
      <c r="P175" s="2250"/>
      <c r="AH175" s="2257">
        <v>0</v>
      </c>
    </row>
    <row s="34580" customFormat="1" customHeight="1" ht="18.75" hidden="1">
      <c r="A176" s="2406"/>
      <c r="B176" s="2406"/>
      <c r="C176" s="995" t="s">
        <v>1328</v>
      </c>
      <c r="D176" s="3088"/>
      <c r="E176" s="2830"/>
      <c r="F176" s="3009"/>
      <c r="G176" s="3053"/>
      <c r="H176" s="2126"/>
      <c r="I176" s="1277" t="s">
        <v>1327</v>
      </c>
      <c r="J176" s="1197"/>
      <c r="K176" s="2126"/>
      <c r="L176" s="840"/>
      <c r="M176" s="967"/>
      <c r="N176" s="960"/>
      <c r="O176" s="2250"/>
      <c r="P176" s="2250"/>
      <c r="AH176" s="2257">
        <v>0</v>
      </c>
    </row>
    <row s="34580" customFormat="1" customHeight="1" ht="0.75" hidden="1">
      <c r="A177" s="2406"/>
      <c r="B177" s="2406"/>
      <c r="C177" s="995" t="s">
        <v>1335</v>
      </c>
      <c r="D177" s="3088"/>
      <c r="E177" s="2830"/>
      <c r="F177" s="3009"/>
      <c r="G177" s="1026"/>
      <c r="H177" s="2126"/>
      <c r="I177" s="1277"/>
      <c r="J177" s="1197"/>
      <c r="K177" s="2126"/>
      <c r="L177" s="840"/>
      <c r="M177" s="967"/>
      <c r="N177" s="960"/>
      <c r="O177" s="2250"/>
      <c r="P177" s="2250"/>
      <c r="AH177" s="2257">
        <v>0</v>
      </c>
    </row>
    <row s="34580" customFormat="1" customHeight="1" ht="18.75" hidden="1">
      <c r="A178" s="2406" t="s">
        <v>248</v>
      </c>
      <c r="B178" s="2406" t="s">
        <v>249</v>
      </c>
      <c r="C178" s="995"/>
      <c r="D178" s="3088"/>
      <c r="E178" s="2830"/>
      <c r="F178" s="3009" t="str">
        <f>INDEX(PT_DIFFERENTIATION_VTAR,MATCH(A178,PT_DIFFERENTIATION_VTAR_ID,0))</f>
        <v>Тариф на техническую воду</v>
      </c>
      <c r="G178" s="3053" t="str">
        <f>INDEX(PT_DIFFERENTIATION_NTAR,MATCH(B178,PT_DIFFERENTIATION_NTAR_ID,0))</f>
        <v/>
      </c>
      <c r="H178" s="2488"/>
      <c r="I178" s="2365"/>
      <c r="J178" s="2399"/>
      <c r="K178" s="2404"/>
      <c r="L178" s="2488" t="s">
        <v>324</v>
      </c>
      <c r="M178" s="967"/>
      <c r="N178" s="960"/>
      <c r="O178" s="2250"/>
      <c r="P178" s="2250"/>
      <c r="AH178" s="2257">
        <v>0</v>
      </c>
    </row>
    <row s="34580" customFormat="1" customHeight="1" ht="18.75" hidden="1">
      <c r="A179" s="2406"/>
      <c r="B179" s="2406"/>
      <c r="C179" s="995" t="s">
        <v>1328</v>
      </c>
      <c r="D179" s="3088"/>
      <c r="E179" s="2830"/>
      <c r="F179" s="3009"/>
      <c r="G179" s="3053"/>
      <c r="H179" s="2126"/>
      <c r="I179" s="1277" t="s">
        <v>1327</v>
      </c>
      <c r="J179" s="1197"/>
      <c r="K179" s="2126"/>
      <c r="L179" s="840"/>
      <c r="M179" s="967"/>
      <c r="N179" s="960"/>
      <c r="O179" s="2250"/>
      <c r="P179" s="2250"/>
      <c r="AH179" s="2257">
        <v>0</v>
      </c>
    </row>
    <row s="34580" customFormat="1" customHeight="1" ht="0.75" hidden="1">
      <c r="A180" s="2406"/>
      <c r="B180" s="2406"/>
      <c r="C180" s="995" t="s">
        <v>1335</v>
      </c>
      <c r="D180" s="3088"/>
      <c r="E180" s="2830"/>
      <c r="F180" s="3009"/>
      <c r="G180" s="1026"/>
      <c r="H180" s="2126"/>
      <c r="I180" s="1277"/>
      <c r="J180" s="1197"/>
      <c r="K180" s="2126"/>
      <c r="L180" s="840"/>
      <c r="M180" s="967"/>
      <c r="N180" s="960"/>
      <c r="O180" s="2250"/>
      <c r="P180" s="2250"/>
      <c r="AH180" s="2257">
        <v>0</v>
      </c>
    </row>
    <row s="34580" customFormat="1" customHeight="1" ht="18.75" hidden="1">
      <c r="A181" s="2406" t="s">
        <v>253</v>
      </c>
      <c r="B181" s="2406" t="s">
        <v>254</v>
      </c>
      <c r="C181" s="995"/>
      <c r="D181" s="3088"/>
      <c r="E181" s="2830"/>
      <c r="F181" s="3009" t="str">
        <f>INDEX(PT_DIFFERENTIATION_VTAR,MATCH(A181,PT_DIFFERENTIATION_VTAR_ID,0))</f>
        <v>Тариф на транспортировку воды</v>
      </c>
      <c r="G181" s="3053" t="str">
        <f>INDEX(PT_DIFFERENTIATION_NTAR,MATCH(B181,PT_DIFFERENTIATION_NTAR_ID,0))</f>
        <v/>
      </c>
      <c r="H181" s="2488"/>
      <c r="I181" s="2365"/>
      <c r="J181" s="2399"/>
      <c r="K181" s="2404"/>
      <c r="L181" s="2488" t="s">
        <v>324</v>
      </c>
      <c r="M181" s="967"/>
      <c r="N181" s="960"/>
      <c r="O181" s="2250"/>
      <c r="P181" s="2250"/>
      <c r="AH181" s="2257">
        <v>0</v>
      </c>
    </row>
    <row s="34580" customFormat="1" customHeight="1" ht="18.75" hidden="1">
      <c r="A182" s="2406"/>
      <c r="B182" s="2406"/>
      <c r="C182" s="995" t="s">
        <v>1328</v>
      </c>
      <c r="D182" s="3088"/>
      <c r="E182" s="2830"/>
      <c r="F182" s="3009"/>
      <c r="G182" s="3053"/>
      <c r="H182" s="2126"/>
      <c r="I182" s="1277" t="s">
        <v>1327</v>
      </c>
      <c r="J182" s="1197"/>
      <c r="K182" s="2126"/>
      <c r="L182" s="840"/>
      <c r="M182" s="967"/>
      <c r="N182" s="960"/>
      <c r="O182" s="2250"/>
      <c r="P182" s="2250"/>
      <c r="AH182" s="2257">
        <v>0</v>
      </c>
    </row>
    <row s="34580" customFormat="1" customHeight="1" ht="0.75" hidden="1">
      <c r="A183" s="2406"/>
      <c r="B183" s="2406"/>
      <c r="C183" s="995" t="s">
        <v>1335</v>
      </c>
      <c r="D183" s="3088"/>
      <c r="E183" s="2830"/>
      <c r="F183" s="3009"/>
      <c r="G183" s="1026"/>
      <c r="H183" s="2126"/>
      <c r="I183" s="1277"/>
      <c r="J183" s="1197"/>
      <c r="K183" s="2126"/>
      <c r="L183" s="840"/>
      <c r="M183" s="967"/>
      <c r="N183" s="960"/>
      <c r="O183" s="2250"/>
      <c r="P183" s="2250"/>
      <c r="AH183" s="2257">
        <v>0</v>
      </c>
    </row>
    <row s="34580" customFormat="1" customHeight="1" ht="18.75" hidden="1">
      <c r="A184" s="2406" t="s">
        <v>258</v>
      </c>
      <c r="B184" s="2406" t="s">
        <v>259</v>
      </c>
      <c r="C184" s="995"/>
      <c r="D184" s="3088"/>
      <c r="E184" s="2830"/>
      <c r="F184" s="3009" t="str">
        <f>INDEX(PT_DIFFERENTIATION_VTAR,MATCH(A184,PT_DIFFERENTIATION_VTAR_ID,0))</f>
        <v>Тариф на подвоз воды</v>
      </c>
      <c r="G184" s="3053" t="str">
        <f>INDEX(PT_DIFFERENTIATION_NTAR,MATCH(B184,PT_DIFFERENTIATION_NTAR_ID,0))</f>
        <v/>
      </c>
      <c r="H184" s="2488"/>
      <c r="I184" s="2365"/>
      <c r="J184" s="2399"/>
      <c r="K184" s="2404"/>
      <c r="L184" s="2488" t="s">
        <v>324</v>
      </c>
      <c r="M184" s="967"/>
      <c r="N184" s="960"/>
      <c r="O184" s="2250"/>
      <c r="P184" s="2250"/>
      <c r="AH184" s="2257">
        <v>0</v>
      </c>
    </row>
    <row s="34580" customFormat="1" customHeight="1" ht="18.75" hidden="1">
      <c r="A185" s="2406"/>
      <c r="B185" s="2406"/>
      <c r="C185" s="995" t="s">
        <v>1328</v>
      </c>
      <c r="D185" s="3088"/>
      <c r="E185" s="2830"/>
      <c r="F185" s="3009"/>
      <c r="G185" s="3053"/>
      <c r="H185" s="2126"/>
      <c r="I185" s="1277" t="s">
        <v>1327</v>
      </c>
      <c r="J185" s="1197"/>
      <c r="K185" s="2126"/>
      <c r="L185" s="840"/>
      <c r="M185" s="967"/>
      <c r="N185" s="960"/>
      <c r="O185" s="2250"/>
      <c r="P185" s="2250"/>
      <c r="AH185" s="2257">
        <v>0</v>
      </c>
    </row>
    <row s="34580" customFormat="1" customHeight="1" ht="0.75" hidden="1">
      <c r="A186" s="2406"/>
      <c r="B186" s="2406"/>
      <c r="C186" s="995" t="s">
        <v>1335</v>
      </c>
      <c r="D186" s="3088"/>
      <c r="E186" s="2830"/>
      <c r="F186" s="3009"/>
      <c r="G186" s="1026"/>
      <c r="H186" s="2126"/>
      <c r="I186" s="1277"/>
      <c r="J186" s="1197"/>
      <c r="K186" s="2126"/>
      <c r="L186" s="840"/>
      <c r="M186" s="967"/>
      <c r="N186" s="960"/>
      <c r="O186" s="2250"/>
      <c r="P186" s="2250"/>
      <c r="AH186" s="2257">
        <v>0</v>
      </c>
    </row>
    <row s="34580" customFormat="1" customHeight="1" ht="18.75" hidden="1">
      <c r="A187" s="2406" t="s">
        <v>263</v>
      </c>
      <c r="B187" s="2406" t="s">
        <v>264</v>
      </c>
      <c r="C187" s="995"/>
      <c r="D187" s="3088"/>
      <c r="E187" s="2830"/>
      <c r="F187" s="300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053" t="str">
        <f>INDEX(PT_DIFFERENTIATION_NTAR,MATCH(B187,PT_DIFFERENTIATION_NTAR_ID,0))</f>
        <v/>
      </c>
      <c r="H187" s="2488"/>
      <c r="I187" s="2365"/>
      <c r="J187" s="2399"/>
      <c r="K187" s="2404"/>
      <c r="L187" s="2488" t="s">
        <v>324</v>
      </c>
      <c r="M187" s="967"/>
      <c r="N187" s="960"/>
      <c r="O187" s="2250"/>
      <c r="P187" s="2250"/>
      <c r="AH187" s="2257">
        <v>0</v>
      </c>
    </row>
    <row s="34580" customFormat="1" customHeight="1" ht="18.75" hidden="1">
      <c r="A188" s="2406"/>
      <c r="B188" s="2406"/>
      <c r="C188" s="995" t="s">
        <v>1328</v>
      </c>
      <c r="D188" s="3088"/>
      <c r="E188" s="2830"/>
      <c r="F188" s="3009"/>
      <c r="G188" s="3053"/>
      <c r="H188" s="2126"/>
      <c r="I188" s="1277" t="s">
        <v>1327</v>
      </c>
      <c r="J188" s="1197"/>
      <c r="K188" s="2126"/>
      <c r="L188" s="840"/>
      <c r="M188" s="967"/>
      <c r="N188" s="960"/>
      <c r="O188" s="2250"/>
      <c r="P188" s="2250"/>
      <c r="AH188" s="2257">
        <v>0</v>
      </c>
    </row>
    <row s="34580" customFormat="1" customHeight="1" ht="0.75" hidden="1">
      <c r="A189" s="2406"/>
      <c r="B189" s="2406"/>
      <c r="C189" s="995" t="s">
        <v>1335</v>
      </c>
      <c r="D189" s="3088"/>
      <c r="E189" s="2830"/>
      <c r="F189" s="3009"/>
      <c r="G189" s="1026"/>
      <c r="H189" s="2126"/>
      <c r="I189" s="1277"/>
      <c r="J189" s="1197"/>
      <c r="K189" s="2126"/>
      <c r="L189" s="840"/>
      <c r="M189" s="967"/>
      <c r="N189" s="960"/>
      <c r="O189" s="2250"/>
      <c r="P189" s="2250"/>
      <c r="AH189" s="2257">
        <v>0</v>
      </c>
    </row>
    <row s="34580" customFormat="1" customHeight="1" ht="18.75" hidden="1">
      <c r="A190" s="2406" t="s">
        <v>268</v>
      </c>
      <c r="B190" s="2406" t="s">
        <v>269</v>
      </c>
      <c r="C190" s="995"/>
      <c r="D190" s="3088"/>
      <c r="E190" s="2830"/>
      <c r="F190" s="3009" t="str">
        <f>INDEX(PT_DIFFERENTIATION_VTAR,MATCH(A190,PT_DIFFERENTIATION_VTAR_ID,0))</f>
        <v>Тариф на горячую воду (горячее водоснабжение)</v>
      </c>
      <c r="G190" s="3053" t="str">
        <f>INDEX(PT_DIFFERENTIATION_NTAR,MATCH(B190,PT_DIFFERENTIATION_NTAR_ID,0))</f>
        <v/>
      </c>
      <c r="H190" s="2488"/>
      <c r="I190" s="2365"/>
      <c r="J190" s="2399"/>
      <c r="K190" s="2404"/>
      <c r="L190" s="2488" t="s">
        <v>324</v>
      </c>
      <c r="M190" s="967"/>
      <c r="N190" s="960"/>
      <c r="O190" s="2250"/>
      <c r="P190" s="2250"/>
      <c r="AH190" s="2257">
        <v>0</v>
      </c>
    </row>
    <row s="34580" customFormat="1" customHeight="1" ht="18.75" hidden="1">
      <c r="A191" s="2406"/>
      <c r="B191" s="2406"/>
      <c r="C191" s="995" t="s">
        <v>1328</v>
      </c>
      <c r="D191" s="3088"/>
      <c r="E191" s="2830"/>
      <c r="F191" s="3009"/>
      <c r="G191" s="3053"/>
      <c r="H191" s="2126"/>
      <c r="I191" s="1277" t="s">
        <v>1327</v>
      </c>
      <c r="J191" s="1197"/>
      <c r="K191" s="2126"/>
      <c r="L191" s="840"/>
      <c r="M191" s="967"/>
      <c r="N191" s="960"/>
      <c r="O191" s="2250"/>
      <c r="P191" s="2250"/>
      <c r="AH191" s="2257">
        <v>0</v>
      </c>
    </row>
    <row s="34580" customFormat="1" customHeight="1" ht="0.75" hidden="1">
      <c r="A192" s="2406"/>
      <c r="B192" s="2406"/>
      <c r="C192" s="995" t="s">
        <v>1335</v>
      </c>
      <c r="D192" s="3088"/>
      <c r="E192" s="2830"/>
      <c r="F192" s="3009"/>
      <c r="G192" s="1026"/>
      <c r="H192" s="2126"/>
      <c r="I192" s="1277"/>
      <c r="J192" s="1197"/>
      <c r="K192" s="2126"/>
      <c r="L192" s="840"/>
      <c r="M192" s="967"/>
      <c r="N192" s="960"/>
      <c r="O192" s="2250"/>
      <c r="P192" s="2250"/>
      <c r="AH192" s="2257">
        <v>0</v>
      </c>
    </row>
    <row s="34580" customFormat="1" customHeight="1" ht="18.75" hidden="1">
      <c r="A193" s="2406" t="s">
        <v>273</v>
      </c>
      <c r="B193" s="2406" t="s">
        <v>274</v>
      </c>
      <c r="C193" s="995"/>
      <c r="D193" s="3088"/>
      <c r="E193" s="2830"/>
      <c r="F193" s="3009" t="str">
        <f>INDEX(PT_DIFFERENTIATION_VTAR,MATCH(A193,PT_DIFFERENTIATION_VTAR_ID,0))</f>
        <v>Тариф на транспортировку горячей воды</v>
      </c>
      <c r="G193" s="3053" t="str">
        <f>INDEX(PT_DIFFERENTIATION_NTAR,MATCH(B193,PT_DIFFERENTIATION_NTAR_ID,0))</f>
        <v/>
      </c>
      <c r="H193" s="2488"/>
      <c r="I193" s="2365"/>
      <c r="J193" s="2399"/>
      <c r="K193" s="2404"/>
      <c r="L193" s="2488" t="s">
        <v>324</v>
      </c>
      <c r="M193" s="967"/>
      <c r="N193" s="960"/>
      <c r="O193" s="2250"/>
      <c r="P193" s="2250"/>
      <c r="AH193" s="2257">
        <v>0</v>
      </c>
    </row>
    <row s="34580" customFormat="1" customHeight="1" ht="18.75" hidden="1">
      <c r="A194" s="2406"/>
      <c r="B194" s="2406"/>
      <c r="C194" s="995" t="s">
        <v>1328</v>
      </c>
      <c r="D194" s="3088"/>
      <c r="E194" s="2830"/>
      <c r="F194" s="3009"/>
      <c r="G194" s="3053"/>
      <c r="H194" s="2126"/>
      <c r="I194" s="1277" t="s">
        <v>1327</v>
      </c>
      <c r="J194" s="1197"/>
      <c r="K194" s="2126"/>
      <c r="L194" s="840"/>
      <c r="M194" s="967"/>
      <c r="N194" s="960"/>
      <c r="O194" s="2250"/>
      <c r="P194" s="2250"/>
      <c r="AH194" s="2257">
        <v>0</v>
      </c>
    </row>
    <row s="34580" customFormat="1" customHeight="1" ht="0.75" hidden="1">
      <c r="A195" s="2406"/>
      <c r="B195" s="2406"/>
      <c r="C195" s="995" t="s">
        <v>1335</v>
      </c>
      <c r="D195" s="3088"/>
      <c r="E195" s="2830"/>
      <c r="F195" s="3009"/>
      <c r="G195" s="1026"/>
      <c r="H195" s="2126"/>
      <c r="I195" s="1277"/>
      <c r="J195" s="1197"/>
      <c r="K195" s="2126"/>
      <c r="L195" s="840"/>
      <c r="M195" s="967"/>
      <c r="N195" s="960"/>
      <c r="O195" s="2250"/>
      <c r="P195" s="2250"/>
      <c r="AH195" s="2257">
        <v>0</v>
      </c>
    </row>
    <row s="34580" customFormat="1" customHeight="1" ht="18.75" hidden="1">
      <c r="A196" s="2406" t="s">
        <v>278</v>
      </c>
      <c r="B196" s="2406" t="s">
        <v>279</v>
      </c>
      <c r="C196" s="995"/>
      <c r="D196" s="3088"/>
      <c r="E196" s="2830"/>
      <c r="F196" s="3009" t="str">
        <f>INDEX(PT_DIFFERENTIATION_VTAR,MATCH(A196,PT_DIFFERENTIATION_VTAR_ID,0))</f>
        <v>Тариф на подключение (технологическое присоединение) к централизованной системе горячего водоснабжения</v>
      </c>
      <c r="G196" s="3053" t="str">
        <f>INDEX(PT_DIFFERENTIATION_NTAR,MATCH(B196,PT_DIFFERENTIATION_NTAR_ID,0))</f>
        <v/>
      </c>
      <c r="H196" s="2488"/>
      <c r="I196" s="2365"/>
      <c r="J196" s="2399"/>
      <c r="K196" s="2404"/>
      <c r="L196" s="2488" t="s">
        <v>324</v>
      </c>
      <c r="M196" s="967"/>
      <c r="N196" s="960"/>
      <c r="O196" s="2250"/>
      <c r="P196" s="2250"/>
      <c r="AH196" s="2257">
        <v>0</v>
      </c>
    </row>
    <row s="34580" customFormat="1" customHeight="1" ht="18.75" hidden="1">
      <c r="A197" s="2406"/>
      <c r="B197" s="2406"/>
      <c r="C197" s="995" t="s">
        <v>1328</v>
      </c>
      <c r="D197" s="3088"/>
      <c r="E197" s="2830"/>
      <c r="F197" s="3009"/>
      <c r="G197" s="3053"/>
      <c r="H197" s="2126"/>
      <c r="I197" s="1277" t="s">
        <v>1327</v>
      </c>
      <c r="J197" s="1197"/>
      <c r="K197" s="2126"/>
      <c r="L197" s="840"/>
      <c r="M197" s="967"/>
      <c r="N197" s="960"/>
      <c r="O197" s="2250"/>
      <c r="P197" s="2250"/>
      <c r="AH197" s="2257">
        <v>0</v>
      </c>
    </row>
    <row s="34580" customFormat="1" customHeight="1" ht="0.75" hidden="1">
      <c r="A198" s="2406"/>
      <c r="B198" s="2406"/>
      <c r="C198" s="995" t="s">
        <v>1335</v>
      </c>
      <c r="D198" s="3088"/>
      <c r="E198" s="2830"/>
      <c r="F198" s="3009"/>
      <c r="G198" s="1026"/>
      <c r="H198" s="2126"/>
      <c r="I198" s="1277"/>
      <c r="J198" s="1197"/>
      <c r="K198" s="2126"/>
      <c r="L198" s="840"/>
      <c r="M198" s="967"/>
      <c r="N198" s="960"/>
      <c r="O198" s="2250"/>
      <c r="P198" s="2250"/>
      <c r="AH198" s="2257">
        <v>0</v>
      </c>
    </row>
    <row s="34580" customFormat="1" customHeight="1" ht="18.75" hidden="1">
      <c r="A199" s="2406" t="s">
        <v>283</v>
      </c>
      <c r="B199" s="2406" t="s">
        <v>284</v>
      </c>
      <c r="C199" s="995"/>
      <c r="D199" s="3088"/>
      <c r="E199" s="2830"/>
      <c r="F199" s="3009" t="str">
        <f>INDEX(PT_DIFFERENTIATION_VTAR,MATCH(A199,PT_DIFFERENTIATION_VTAR_ID,0))</f>
        <v>Тариф на водоотведение</v>
      </c>
      <c r="G199" s="3053" t="str">
        <f>INDEX(PT_DIFFERENTIATION_NTAR,MATCH(B199,PT_DIFFERENTIATION_NTAR_ID,0))</f>
        <v/>
      </c>
      <c r="H199" s="2488"/>
      <c r="I199" s="2365"/>
      <c r="J199" s="2399"/>
      <c r="K199" s="2404"/>
      <c r="L199" s="2488" t="s">
        <v>324</v>
      </c>
      <c r="M199" s="967"/>
      <c r="N199" s="960"/>
      <c r="O199" s="2250"/>
      <c r="P199" s="2250"/>
      <c r="AH199" s="2257">
        <v>0</v>
      </c>
    </row>
    <row s="34580" customFormat="1" customHeight="1" ht="18.75" hidden="1">
      <c r="A200" s="2406"/>
      <c r="B200" s="2406"/>
      <c r="C200" s="995" t="s">
        <v>1328</v>
      </c>
      <c r="D200" s="3088"/>
      <c r="E200" s="2830"/>
      <c r="F200" s="3009"/>
      <c r="G200" s="3053"/>
      <c r="H200" s="2126"/>
      <c r="I200" s="1277" t="s">
        <v>1327</v>
      </c>
      <c r="J200" s="1197"/>
      <c r="K200" s="2126"/>
      <c r="L200" s="840"/>
      <c r="M200" s="967"/>
      <c r="N200" s="960"/>
      <c r="O200" s="2250"/>
      <c r="P200" s="2250"/>
      <c r="AH200" s="2257">
        <v>0</v>
      </c>
    </row>
    <row s="34580" customFormat="1" customHeight="1" ht="0.75" hidden="1">
      <c r="A201" s="2406"/>
      <c r="B201" s="2406"/>
      <c r="C201" s="995" t="s">
        <v>1335</v>
      </c>
      <c r="D201" s="3088"/>
      <c r="E201" s="2830"/>
      <c r="F201" s="3009"/>
      <c r="G201" s="1026"/>
      <c r="H201" s="2126"/>
      <c r="I201" s="1277"/>
      <c r="J201" s="1197"/>
      <c r="K201" s="2126"/>
      <c r="L201" s="840"/>
      <c r="M201" s="967"/>
      <c r="N201" s="960"/>
      <c r="O201" s="2250"/>
      <c r="P201" s="2250"/>
      <c r="AH201" s="2257">
        <v>0</v>
      </c>
    </row>
    <row s="34580" customFormat="1" customHeight="1" ht="18.75" hidden="1">
      <c r="A202" s="2406" t="s">
        <v>288</v>
      </c>
      <c r="B202" s="2406" t="s">
        <v>289</v>
      </c>
      <c r="C202" s="995"/>
      <c r="D202" s="3088"/>
      <c r="E202" s="2830"/>
      <c r="F202" s="3009" t="str">
        <f>INDEX(PT_DIFFERENTIATION_VTAR,MATCH(A202,PT_DIFFERENTIATION_VTAR_ID,0))</f>
        <v>Тариф на транспортировку сточных вод</v>
      </c>
      <c r="G202" s="3053" t="str">
        <f>INDEX(PT_DIFFERENTIATION_NTAR,MATCH(B202,PT_DIFFERENTIATION_NTAR_ID,0))</f>
        <v/>
      </c>
      <c r="H202" s="2488"/>
      <c r="I202" s="2365"/>
      <c r="J202" s="2399"/>
      <c r="K202" s="2404"/>
      <c r="L202" s="2488" t="s">
        <v>324</v>
      </c>
      <c r="M202" s="967"/>
      <c r="N202" s="960"/>
      <c r="O202" s="2250"/>
      <c r="P202" s="2250"/>
      <c r="AH202" s="2257">
        <v>0</v>
      </c>
    </row>
    <row s="34580" customFormat="1" customHeight="1" ht="18.75" hidden="1">
      <c r="A203" s="2406"/>
      <c r="B203" s="2406"/>
      <c r="C203" s="995" t="s">
        <v>1328</v>
      </c>
      <c r="D203" s="3088"/>
      <c r="E203" s="2830"/>
      <c r="F203" s="3009"/>
      <c r="G203" s="3053"/>
      <c r="H203" s="2126"/>
      <c r="I203" s="1277" t="s">
        <v>1327</v>
      </c>
      <c r="J203" s="1197"/>
      <c r="K203" s="2126"/>
      <c r="L203" s="840"/>
      <c r="M203" s="967"/>
      <c r="N203" s="960"/>
      <c r="O203" s="2250"/>
      <c r="P203" s="2250"/>
      <c r="AH203" s="2257">
        <v>0</v>
      </c>
    </row>
    <row s="34580" customFormat="1" customHeight="1" ht="0.75" hidden="1">
      <c r="A204" s="2406"/>
      <c r="B204" s="2406"/>
      <c r="C204" s="995" t="s">
        <v>1335</v>
      </c>
      <c r="D204" s="3088"/>
      <c r="E204" s="2830"/>
      <c r="F204" s="3009"/>
      <c r="G204" s="1026"/>
      <c r="H204" s="2126"/>
      <c r="I204" s="1277"/>
      <c r="J204" s="1197"/>
      <c r="K204" s="2126"/>
      <c r="L204" s="840"/>
      <c r="M204" s="967"/>
      <c r="N204" s="960"/>
      <c r="O204" s="2250"/>
      <c r="P204" s="2250"/>
      <c r="AH204" s="2257">
        <v>0</v>
      </c>
    </row>
    <row s="34580" customFormat="1" customHeight="1" ht="18.75" hidden="1">
      <c r="A205" s="2406" t="s">
        <v>293</v>
      </c>
      <c r="B205" s="2406" t="s">
        <v>294</v>
      </c>
      <c r="C205" s="995"/>
      <c r="D205" s="3088"/>
      <c r="E205" s="2830"/>
      <c r="F205" s="3009" t="str">
        <f>INDEX(PT_DIFFERENTIATION_VTAR,MATCH(A205,PT_DIFFERENTIATION_VTAR_ID,0))</f>
        <v>Тариф на подключение (технологическое присоединение) к централизованной системе водоотведения</v>
      </c>
      <c r="G205" s="3053" t="str">
        <f>INDEX(PT_DIFFERENTIATION_NTAR,MATCH(B205,PT_DIFFERENTIATION_NTAR_ID,0))</f>
        <v/>
      </c>
      <c r="H205" s="2488"/>
      <c r="I205" s="2365"/>
      <c r="J205" s="2399"/>
      <c r="K205" s="2404"/>
      <c r="L205" s="2488" t="s">
        <v>324</v>
      </c>
      <c r="M205" s="967"/>
      <c r="N205" s="960"/>
      <c r="O205" s="2250"/>
      <c r="P205" s="2250"/>
      <c r="AH205" s="2257">
        <v>0</v>
      </c>
    </row>
    <row s="34580" customFormat="1" customHeight="1" ht="18.75" hidden="1">
      <c r="A206" s="2406"/>
      <c r="B206" s="2406"/>
      <c r="C206" s="995" t="s">
        <v>1328</v>
      </c>
      <c r="D206" s="3088"/>
      <c r="E206" s="2830"/>
      <c r="F206" s="3009"/>
      <c r="G206" s="3053"/>
      <c r="H206" s="2126"/>
      <c r="I206" s="1277" t="s">
        <v>1327</v>
      </c>
      <c r="J206" s="1197"/>
      <c r="K206" s="2126"/>
      <c r="L206" s="840"/>
      <c r="M206" s="967"/>
      <c r="N206" s="960"/>
      <c r="O206" s="2250"/>
      <c r="P206" s="2250"/>
      <c r="AH206" s="2257">
        <v>0</v>
      </c>
    </row>
    <row s="34580" customFormat="1" customHeight="1" ht="1.05">
      <c r="A207" s="2406"/>
      <c r="B207" s="2406"/>
      <c r="C207" s="995" t="s">
        <v>1335</v>
      </c>
      <c r="D207" s="3088"/>
      <c r="E207" s="2830"/>
      <c r="F207" s="3009"/>
      <c r="G207" s="1026"/>
      <c r="H207" s="2126"/>
      <c r="I207" s="1277"/>
      <c r="J207" s="1197"/>
      <c r="K207" s="2126"/>
      <c r="L207" s="840"/>
      <c r="M207" s="967"/>
      <c r="N207" s="960"/>
      <c r="O207" s="2250"/>
      <c r="P207" s="2250"/>
      <c r="AH207" s="2257">
        <v>1</v>
      </c>
    </row>
    <row customHeight="1" ht="27.299999999999997">
      <c r="A208" s="2406"/>
      <c r="B208" s="2406"/>
      <c r="D208" s="1002"/>
      <c r="E208" s="773" t="s">
        <v>119</v>
      </c>
      <c r="F208" s="308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086"/>
      <c r="H208" s="3086"/>
      <c r="I208" s="3086"/>
      <c r="J208" s="3086"/>
      <c r="K208" s="3086"/>
      <c r="L208" s="3086"/>
      <c r="M208" s="923"/>
      <c r="N208" s="960"/>
      <c r="AH208" s="1000">
        <v>26</v>
      </c>
    </row>
    <row s="34580" customFormat="1" customHeight="1" ht="60.75" hidden="1">
      <c r="A209" s="2406" t="s">
        <v>175</v>
      </c>
      <c r="B209" s="2406" t="s">
        <v>176</v>
      </c>
      <c r="C209" s="995"/>
      <c r="D209" s="3088"/>
      <c r="E209" s="2830"/>
      <c r="F209" s="300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053" t="str">
        <f>INDEX(PT_DIFFERENTIATION_NTAR,MATCH(B209,PT_DIFFERENTIATION_NTAR_ID,0))</f>
        <v/>
      </c>
      <c r="H209" s="2488"/>
      <c r="I209" s="2365"/>
      <c r="J209" s="2399"/>
      <c r="K209" s="2404"/>
      <c r="L209" s="2488" t="s">
        <v>324</v>
      </c>
      <c r="M209" s="27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960"/>
      <c r="O209" s="2250"/>
      <c r="P209" s="2250"/>
      <c r="AH209" s="2257">
        <v>0</v>
      </c>
    </row>
    <row s="34580" customFormat="1" customHeight="1" ht="18.75" hidden="1">
      <c r="A210" s="2406"/>
      <c r="B210" s="2406"/>
      <c r="C210" s="995" t="s">
        <v>1328</v>
      </c>
      <c r="D210" s="3088"/>
      <c r="E210" s="2830"/>
      <c r="F210" s="3009"/>
      <c r="G210" s="3053"/>
      <c r="H210" s="2126"/>
      <c r="I210" s="1277" t="s">
        <v>1327</v>
      </c>
      <c r="J210" s="1197"/>
      <c r="K210" s="2126"/>
      <c r="L210" s="840"/>
      <c r="M210" s="2796"/>
      <c r="N210" s="960"/>
      <c r="O210" s="2250"/>
      <c r="P210" s="2250"/>
      <c r="AH210" s="2257">
        <v>0</v>
      </c>
    </row>
    <row s="34580" customFormat="1" customHeight="1" ht="0.75" hidden="1">
      <c r="A211" s="2406"/>
      <c r="B211" s="2406"/>
      <c r="C211" s="995" t="s">
        <v>1335</v>
      </c>
      <c r="D211" s="3088"/>
      <c r="E211" s="2830"/>
      <c r="F211" s="3009"/>
      <c r="G211" s="1026"/>
      <c r="H211" s="2126"/>
      <c r="I211" s="1277"/>
      <c r="J211" s="1197"/>
      <c r="K211" s="2126"/>
      <c r="L211" s="840"/>
      <c r="M211" s="2796"/>
      <c r="N211" s="960"/>
      <c r="O211" s="2250"/>
      <c r="P211" s="2250"/>
      <c r="AH211" s="2257">
        <v>0</v>
      </c>
    </row>
    <row s="34580" customFormat="1" customHeight="1" ht="45" hidden="1">
      <c r="A212" s="2406" t="s">
        <v>180</v>
      </c>
      <c r="B212" s="2406" t="s">
        <v>181</v>
      </c>
      <c r="C212" s="995"/>
      <c r="D212" s="3088"/>
      <c r="E212" s="2830"/>
      <c r="F212" s="3009" t="str">
        <f>INDEX(PT_DIFFERENTIATION_VTAR,MATCH(A212,PT_DIFFERENTIATION_VTAR_ID,0))</f>
        <v/>
      </c>
      <c r="G212" s="3053" t="str">
        <f>INDEX(PT_DIFFERENTIATION_NTAR,MATCH(B212,PT_DIFFERENTIATION_NTAR_ID,0))</f>
        <v/>
      </c>
      <c r="H212" s="2488"/>
      <c r="I212" s="2365"/>
      <c r="J212" s="2399"/>
      <c r="K212" s="2404"/>
      <c r="L212" s="2488" t="s">
        <v>324</v>
      </c>
      <c r="M212" s="2797"/>
      <c r="N212" s="960"/>
      <c r="O212" s="2250"/>
      <c r="P212" s="2250"/>
      <c r="AH212" s="2257">
        <v>0</v>
      </c>
    </row>
    <row s="34580" customFormat="1" customHeight="1" ht="18.75" hidden="1">
      <c r="A213" s="2406"/>
      <c r="B213" s="2406"/>
      <c r="C213" s="995" t="s">
        <v>1328</v>
      </c>
      <c r="D213" s="3088"/>
      <c r="E213" s="2830"/>
      <c r="F213" s="3009"/>
      <c r="G213" s="3053"/>
      <c r="H213" s="2126"/>
      <c r="I213" s="1277" t="s">
        <v>1327</v>
      </c>
      <c r="J213" s="1197"/>
      <c r="K213" s="2126"/>
      <c r="L213" s="840"/>
      <c r="M213" s="2487"/>
      <c r="N213" s="960"/>
      <c r="O213" s="2250"/>
      <c r="P213" s="2250"/>
      <c r="AH213" s="2257">
        <v>0</v>
      </c>
    </row>
    <row s="34580" customFormat="1" customHeight="1" ht="0.75" hidden="1">
      <c r="A214" s="2406"/>
      <c r="B214" s="2406"/>
      <c r="C214" s="995" t="s">
        <v>1335</v>
      </c>
      <c r="D214" s="3088"/>
      <c r="E214" s="2830"/>
      <c r="F214" s="3009"/>
      <c r="G214" s="1026"/>
      <c r="H214" s="2126"/>
      <c r="I214" s="1277"/>
      <c r="J214" s="1197"/>
      <c r="K214" s="2126"/>
      <c r="L214" s="840"/>
      <c r="M214" s="967"/>
      <c r="N214" s="960"/>
      <c r="O214" s="2250"/>
      <c r="P214" s="2250"/>
      <c r="AH214" s="2257">
        <v>0</v>
      </c>
    </row>
    <row s="34580" customFormat="1" customHeight="1" ht="45" hidden="1">
      <c r="A215" s="2406" t="s">
        <v>187</v>
      </c>
      <c r="B215" s="2406" t="s">
        <v>188</v>
      </c>
      <c r="C215" s="995"/>
      <c r="D215" s="3088"/>
      <c r="E215" s="2830"/>
      <c r="F215" s="300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053" t="str">
        <f>INDEX(PT_DIFFERENTIATION_NTAR,MATCH(B215,PT_DIFFERENTIATION_NTAR_ID,0))</f>
        <v/>
      </c>
      <c r="H215" s="2488"/>
      <c r="I215" s="2365"/>
      <c r="J215" s="2399"/>
      <c r="K215" s="2404"/>
      <c r="L215" s="2488" t="s">
        <v>324</v>
      </c>
      <c r="M215" s="967"/>
      <c r="N215" s="960"/>
      <c r="O215" s="2250"/>
      <c r="P215" s="2250"/>
      <c r="AH215" s="2257">
        <v>0</v>
      </c>
    </row>
    <row s="34580" customFormat="1" customHeight="1" ht="18.75" hidden="1">
      <c r="A216" s="2406"/>
      <c r="B216" s="2406"/>
      <c r="C216" s="995" t="s">
        <v>1328</v>
      </c>
      <c r="D216" s="3088"/>
      <c r="E216" s="2830"/>
      <c r="F216" s="3009"/>
      <c r="G216" s="3053"/>
      <c r="H216" s="2126"/>
      <c r="I216" s="1277" t="s">
        <v>1327</v>
      </c>
      <c r="J216" s="1197"/>
      <c r="K216" s="2126"/>
      <c r="L216" s="840"/>
      <c r="M216" s="967"/>
      <c r="N216" s="960"/>
      <c r="O216" s="2250"/>
      <c r="P216" s="2250"/>
      <c r="AH216" s="2257">
        <v>0</v>
      </c>
    </row>
    <row s="34580" customFormat="1" customHeight="1" ht="0.75" hidden="1">
      <c r="A217" s="2406"/>
      <c r="B217" s="2406"/>
      <c r="C217" s="995" t="s">
        <v>1335</v>
      </c>
      <c r="D217" s="3088"/>
      <c r="E217" s="2830"/>
      <c r="F217" s="3009"/>
      <c r="G217" s="1026"/>
      <c r="H217" s="2126"/>
      <c r="I217" s="1277"/>
      <c r="J217" s="1197"/>
      <c r="K217" s="2126"/>
      <c r="L217" s="840"/>
      <c r="M217" s="967"/>
      <c r="N217" s="960"/>
      <c r="O217" s="2250"/>
      <c r="P217" s="2250"/>
      <c r="AH217" s="2257">
        <v>0</v>
      </c>
    </row>
    <row s="34580" customFormat="1" customHeight="1" ht="45" hidden="1">
      <c r="A218" s="2406" t="s">
        <v>193</v>
      </c>
      <c r="B218" s="2406" t="s">
        <v>194</v>
      </c>
      <c r="C218" s="995"/>
      <c r="D218" s="3088"/>
      <c r="E218" s="2830"/>
      <c r="F218" s="300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053" t="str">
        <f>INDEX(PT_DIFFERENTIATION_NTAR,MATCH(B218,PT_DIFFERENTIATION_NTAR_ID,0))</f>
        <v/>
      </c>
      <c r="H218" s="2488"/>
      <c r="I218" s="2365"/>
      <c r="J218" s="2399"/>
      <c r="K218" s="2404"/>
      <c r="L218" s="2488" t="s">
        <v>324</v>
      </c>
      <c r="M218" s="967"/>
      <c r="N218" s="960"/>
      <c r="O218" s="2250"/>
      <c r="P218" s="2250"/>
      <c r="AH218" s="2257">
        <v>0</v>
      </c>
    </row>
    <row s="34580" customFormat="1" customHeight="1" ht="18.75" hidden="1">
      <c r="A219" s="2406"/>
      <c r="B219" s="2406"/>
      <c r="C219" s="995" t="s">
        <v>1328</v>
      </c>
      <c r="D219" s="3088"/>
      <c r="E219" s="2830"/>
      <c r="F219" s="3009"/>
      <c r="G219" s="3053"/>
      <c r="H219" s="2126"/>
      <c r="I219" s="1277" t="s">
        <v>1327</v>
      </c>
      <c r="J219" s="1197"/>
      <c r="K219" s="2126"/>
      <c r="L219" s="840"/>
      <c r="M219" s="967"/>
      <c r="N219" s="960"/>
      <c r="O219" s="2250"/>
      <c r="P219" s="2250"/>
      <c r="AH219" s="2257">
        <v>0</v>
      </c>
    </row>
    <row s="34580" customFormat="1" customHeight="1" ht="0.75" hidden="1">
      <c r="A220" s="2406"/>
      <c r="B220" s="2406"/>
      <c r="C220" s="995" t="s">
        <v>1335</v>
      </c>
      <c r="D220" s="3088"/>
      <c r="E220" s="2830"/>
      <c r="F220" s="3009"/>
      <c r="G220" s="1026"/>
      <c r="H220" s="2126"/>
      <c r="I220" s="1277"/>
      <c r="J220" s="1197"/>
      <c r="K220" s="2126"/>
      <c r="L220" s="840"/>
      <c r="M220" s="967"/>
      <c r="N220" s="960"/>
      <c r="O220" s="2250"/>
      <c r="P220" s="2250"/>
      <c r="AH220" s="2257">
        <v>0</v>
      </c>
    </row>
    <row s="34580" customFormat="1" customHeight="1" ht="18.75" hidden="1">
      <c r="A221" s="2406" t="s">
        <v>199</v>
      </c>
      <c r="B221" s="2406" t="s">
        <v>200</v>
      </c>
      <c r="C221" s="995"/>
      <c r="D221" s="3088"/>
      <c r="E221" s="2830"/>
      <c r="F221" s="3009" t="str">
        <f>INDEX(PT_DIFFERENTIATION_VTAR,MATCH(A221,PT_DIFFERENTIATION_VTAR_ID,0))</f>
        <v>Тарифы на услуги по передаче тепловой энергии</v>
      </c>
      <c r="G221" s="3053" t="str">
        <f>INDEX(PT_DIFFERENTIATION_NTAR,MATCH(B221,PT_DIFFERENTIATION_NTAR_ID,0))</f>
        <v/>
      </c>
      <c r="H221" s="2488"/>
      <c r="I221" s="2365"/>
      <c r="J221" s="2399"/>
      <c r="K221" s="2404"/>
      <c r="L221" s="2488" t="s">
        <v>324</v>
      </c>
      <c r="M221" s="967"/>
      <c r="N221" s="960"/>
      <c r="O221" s="2250"/>
      <c r="P221" s="2250"/>
      <c r="AH221" s="2257">
        <v>0</v>
      </c>
    </row>
    <row s="34580" customFormat="1" customHeight="1" ht="18.75" hidden="1">
      <c r="A222" s="2406"/>
      <c r="B222" s="2406"/>
      <c r="C222" s="995" t="s">
        <v>1328</v>
      </c>
      <c r="D222" s="3088"/>
      <c r="E222" s="2830"/>
      <c r="F222" s="3009"/>
      <c r="G222" s="3053"/>
      <c r="H222" s="2126"/>
      <c r="I222" s="1277" t="s">
        <v>1327</v>
      </c>
      <c r="J222" s="1197"/>
      <c r="K222" s="2126"/>
      <c r="L222" s="840"/>
      <c r="M222" s="967"/>
      <c r="N222" s="960"/>
      <c r="O222" s="2250"/>
      <c r="P222" s="2250"/>
      <c r="AH222" s="2257">
        <v>0</v>
      </c>
    </row>
    <row s="34580" customFormat="1" customHeight="1" ht="0.75" hidden="1">
      <c r="A223" s="2406"/>
      <c r="B223" s="2406"/>
      <c r="C223" s="995" t="s">
        <v>1335</v>
      </c>
      <c r="D223" s="3088"/>
      <c r="E223" s="2830"/>
      <c r="F223" s="3009"/>
      <c r="G223" s="1026"/>
      <c r="H223" s="2126"/>
      <c r="I223" s="1277"/>
      <c r="J223" s="1197"/>
      <c r="K223" s="2126"/>
      <c r="L223" s="840"/>
      <c r="M223" s="967"/>
      <c r="N223" s="960"/>
      <c r="O223" s="2250"/>
      <c r="P223" s="2250"/>
      <c r="AH223" s="2257">
        <v>0</v>
      </c>
    </row>
    <row s="34580" customFormat="1" customHeight="1" ht="18.75" hidden="1">
      <c r="A224" s="2406" t="s">
        <v>205</v>
      </c>
      <c r="B224" s="2406" t="s">
        <v>206</v>
      </c>
      <c r="C224" s="995"/>
      <c r="D224" s="3088"/>
      <c r="E224" s="2830"/>
      <c r="F224" s="3009" t="str">
        <f>INDEX(PT_DIFFERENTIATION_VTAR,MATCH(A224,PT_DIFFERENTIATION_VTAR_ID,0))</f>
        <v>Тарифы на услуги по передаче теплоносителя</v>
      </c>
      <c r="G224" s="3053" t="str">
        <f>INDEX(PT_DIFFERENTIATION_NTAR,MATCH(B224,PT_DIFFERENTIATION_NTAR_ID,0))</f>
        <v/>
      </c>
      <c r="H224" s="2488"/>
      <c r="I224" s="2365"/>
      <c r="J224" s="2399"/>
      <c r="K224" s="2404"/>
      <c r="L224" s="2488" t="s">
        <v>324</v>
      </c>
      <c r="M224" s="967"/>
      <c r="N224" s="960"/>
      <c r="O224" s="2250"/>
      <c r="P224" s="2250"/>
      <c r="AH224" s="2257">
        <v>0</v>
      </c>
    </row>
    <row s="34580" customFormat="1" customHeight="1" ht="18.75" hidden="1">
      <c r="A225" s="2406"/>
      <c r="B225" s="2406"/>
      <c r="C225" s="995" t="s">
        <v>1328</v>
      </c>
      <c r="D225" s="3088"/>
      <c r="E225" s="2830"/>
      <c r="F225" s="3009"/>
      <c r="G225" s="3053"/>
      <c r="H225" s="2126"/>
      <c r="I225" s="1277" t="s">
        <v>1327</v>
      </c>
      <c r="J225" s="1197"/>
      <c r="K225" s="2126"/>
      <c r="L225" s="840"/>
      <c r="M225" s="967"/>
      <c r="N225" s="960"/>
      <c r="O225" s="2250"/>
      <c r="P225" s="2250"/>
      <c r="AH225" s="2257">
        <v>0</v>
      </c>
    </row>
    <row s="34580" customFormat="1" customHeight="1" ht="0.75" hidden="1">
      <c r="A226" s="2406"/>
      <c r="B226" s="2406"/>
      <c r="C226" s="995" t="s">
        <v>1335</v>
      </c>
      <c r="D226" s="3088"/>
      <c r="E226" s="2830"/>
      <c r="F226" s="3009"/>
      <c r="G226" s="1026"/>
      <c r="H226" s="2126"/>
      <c r="I226" s="1277"/>
      <c r="J226" s="1197"/>
      <c r="K226" s="2126"/>
      <c r="L226" s="840"/>
      <c r="M226" s="967"/>
      <c r="N226" s="960"/>
      <c r="O226" s="2250"/>
      <c r="P226" s="2250"/>
      <c r="AH226" s="2257">
        <v>0</v>
      </c>
    </row>
    <row s="34580" customFormat="1" customHeight="1" ht="18.75" hidden="1">
      <c r="A227" s="2406" t="s">
        <v>211</v>
      </c>
      <c r="B227" s="2406" t="s">
        <v>212</v>
      </c>
      <c r="C227" s="995"/>
      <c r="D227" s="3088"/>
      <c r="E227" s="2830"/>
      <c r="F227" s="300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053" t="str">
        <f>INDEX(PT_DIFFERENTIATION_NTAR,MATCH(B227,PT_DIFFERENTIATION_NTAR_ID,0))</f>
        <v/>
      </c>
      <c r="H227" s="2488"/>
      <c r="I227" s="2365"/>
      <c r="J227" s="2399"/>
      <c r="K227" s="2404"/>
      <c r="L227" s="2488" t="s">
        <v>324</v>
      </c>
      <c r="M227" s="967"/>
      <c r="N227" s="960"/>
      <c r="O227" s="2250"/>
      <c r="P227" s="2250"/>
      <c r="AH227" s="2257">
        <v>0</v>
      </c>
    </row>
    <row s="34580" customFormat="1" customHeight="1" ht="18.75" hidden="1">
      <c r="A228" s="2406"/>
      <c r="B228" s="2406"/>
      <c r="C228" s="995" t="s">
        <v>1328</v>
      </c>
      <c r="D228" s="3088"/>
      <c r="E228" s="2830"/>
      <c r="F228" s="3009"/>
      <c r="G228" s="3053"/>
      <c r="H228" s="2126"/>
      <c r="I228" s="1277" t="s">
        <v>1327</v>
      </c>
      <c r="J228" s="1197"/>
      <c r="K228" s="2126"/>
      <c r="L228" s="840"/>
      <c r="M228" s="967"/>
      <c r="N228" s="960"/>
      <c r="O228" s="2250"/>
      <c r="P228" s="2250"/>
      <c r="AH228" s="2257">
        <v>0</v>
      </c>
    </row>
    <row s="34580" customFormat="1" customHeight="1" ht="0.75" hidden="1">
      <c r="A229" s="2406"/>
      <c r="B229" s="2406"/>
      <c r="C229" s="995" t="s">
        <v>1335</v>
      </c>
      <c r="D229" s="3088"/>
      <c r="E229" s="2830"/>
      <c r="F229" s="3009"/>
      <c r="G229" s="1026"/>
      <c r="H229" s="2126"/>
      <c r="I229" s="1277"/>
      <c r="J229" s="1197"/>
      <c r="K229" s="2126"/>
      <c r="L229" s="840"/>
      <c r="M229" s="967"/>
      <c r="N229" s="960"/>
      <c r="O229" s="2250"/>
      <c r="P229" s="2250"/>
      <c r="AH229" s="2257">
        <v>0</v>
      </c>
    </row>
    <row s="34580" customFormat="1" customHeight="1" ht="18.75" hidden="1">
      <c r="A230" s="2406" t="s">
        <v>217</v>
      </c>
      <c r="B230" s="2406" t="s">
        <v>218</v>
      </c>
      <c r="C230" s="995"/>
      <c r="D230" s="3088"/>
      <c r="E230" s="2830"/>
      <c r="F230" s="3009" t="str">
        <f>INDEX(PT_DIFFERENTIATION_VTAR,MATCH(A230,PT_DIFFERENTIATION_VTAR_ID,0))</f>
        <v>Плата за подключение (технологическое присоединение) к системе теплоснабжения</v>
      </c>
      <c r="G230" s="3053" t="str">
        <f>INDEX(PT_DIFFERENTIATION_NTAR,MATCH(B230,PT_DIFFERENTIATION_NTAR_ID,0))</f>
        <v/>
      </c>
      <c r="H230" s="2488"/>
      <c r="I230" s="2365"/>
      <c r="J230" s="2399"/>
      <c r="K230" s="2404"/>
      <c r="L230" s="2488" t="s">
        <v>324</v>
      </c>
      <c r="M230" s="967"/>
      <c r="N230" s="960"/>
      <c r="O230" s="2250"/>
      <c r="P230" s="2250"/>
      <c r="AH230" s="2257">
        <v>0</v>
      </c>
    </row>
    <row s="34580" customFormat="1" customHeight="1" ht="18.75" hidden="1">
      <c r="A231" s="2406"/>
      <c r="B231" s="2406"/>
      <c r="C231" s="995" t="s">
        <v>1328</v>
      </c>
      <c r="D231" s="3088"/>
      <c r="E231" s="2830"/>
      <c r="F231" s="3009"/>
      <c r="G231" s="3053"/>
      <c r="H231" s="2126"/>
      <c r="I231" s="1277" t="s">
        <v>1327</v>
      </c>
      <c r="J231" s="1197"/>
      <c r="K231" s="2126"/>
      <c r="L231" s="840"/>
      <c r="M231" s="967"/>
      <c r="N231" s="960"/>
      <c r="O231" s="2250"/>
      <c r="P231" s="2250"/>
      <c r="AH231" s="2257">
        <v>0</v>
      </c>
    </row>
    <row s="34580" customFormat="1" customHeight="1" ht="0.75" hidden="1">
      <c r="A232" s="2406"/>
      <c r="B232" s="2406"/>
      <c r="C232" s="995" t="s">
        <v>1335</v>
      </c>
      <c r="D232" s="3088"/>
      <c r="E232" s="2830"/>
      <c r="F232" s="3009"/>
      <c r="G232" s="1026"/>
      <c r="H232" s="2126"/>
      <c r="I232" s="1277"/>
      <c r="J232" s="1197"/>
      <c r="K232" s="2126"/>
      <c r="L232" s="840"/>
      <c r="M232" s="967"/>
      <c r="N232" s="960"/>
      <c r="O232" s="2250"/>
      <c r="P232" s="2250"/>
      <c r="AH232" s="2257">
        <v>0</v>
      </c>
    </row>
    <row s="34580" customFormat="1" customHeight="1" ht="18.75" hidden="1">
      <c r="A233" s="2406" t="s">
        <v>223</v>
      </c>
      <c r="B233" s="2406" t="s">
        <v>224</v>
      </c>
      <c r="C233" s="995"/>
      <c r="D233" s="3088"/>
      <c r="E233" s="2830"/>
      <c r="F233" s="3009" t="str">
        <f>INDEX(PT_DIFFERENTIATION_VTAR,MATCH(A233,PT_DIFFERENTIATION_VTAR_ID,0))</f>
        <v>Плата за подключение (технологическое присоединение) к системе теплоснабжения (индивидуальная)</v>
      </c>
      <c r="G233" s="3053" t="str">
        <f>INDEX(PT_DIFFERENTIATION_NTAR,MATCH(B233,PT_DIFFERENTIATION_NTAR_ID,0))</f>
        <v/>
      </c>
      <c r="H233" s="2615"/>
      <c r="I233" s="2365"/>
      <c r="J233" s="2399"/>
      <c r="K233" s="2404"/>
      <c r="L233" s="2615" t="s">
        <v>324</v>
      </c>
      <c r="M233" s="967"/>
      <c r="N233" s="960"/>
      <c r="O233" s="2250"/>
      <c r="P233" s="2250"/>
      <c r="AH233" s="2257">
        <v>0</v>
      </c>
    </row>
    <row s="34580" customFormat="1" customHeight="1" ht="18.75" hidden="1">
      <c r="A234" s="2406"/>
      <c r="B234" s="2406"/>
      <c r="C234" s="995" t="s">
        <v>1328</v>
      </c>
      <c r="D234" s="3088"/>
      <c r="E234" s="2830"/>
      <c r="F234" s="3009"/>
      <c r="G234" s="3053"/>
      <c r="H234" s="2126"/>
      <c r="I234" s="1277" t="s">
        <v>1327</v>
      </c>
      <c r="J234" s="1197"/>
      <c r="K234" s="2126"/>
      <c r="L234" s="840"/>
      <c r="M234" s="967"/>
      <c r="N234" s="960"/>
      <c r="O234" s="2250"/>
      <c r="P234" s="2250"/>
      <c r="AH234" s="2257">
        <v>0</v>
      </c>
    </row>
    <row s="34580" customFormat="1" customHeight="1" ht="0.75" hidden="1">
      <c r="A235" s="2406"/>
      <c r="B235" s="2406"/>
      <c r="C235" s="995" t="s">
        <v>1335</v>
      </c>
      <c r="D235" s="3088"/>
      <c r="E235" s="2830"/>
      <c r="F235" s="3009"/>
      <c r="G235" s="1026"/>
      <c r="H235" s="2126"/>
      <c r="I235" s="1277"/>
      <c r="J235" s="1197"/>
      <c r="K235" s="2126"/>
      <c r="L235" s="840"/>
      <c r="M235" s="967"/>
      <c r="N235" s="960"/>
      <c r="O235" s="2250"/>
      <c r="P235" s="2250"/>
      <c r="AH235" s="2257">
        <v>0</v>
      </c>
    </row>
    <row s="34580" customFormat="1" customHeight="1" ht="18.75" hidden="1">
      <c r="A236" s="2406" t="s">
        <v>243</v>
      </c>
      <c r="B236" s="2406" t="s">
        <v>244</v>
      </c>
      <c r="C236" s="995"/>
      <c r="D236" s="3088"/>
      <c r="E236" s="2830"/>
      <c r="F236" s="3009" t="str">
        <f>INDEX(PT_DIFFERENTIATION_VTAR,MATCH(A236,PT_DIFFERENTIATION_VTAR_ID,0))</f>
        <v>Тариф на питьевую воду (питьевое водоснабжение)</v>
      </c>
      <c r="G236" s="3053" t="str">
        <f>INDEX(PT_DIFFERENTIATION_NTAR,MATCH(B236,PT_DIFFERENTIATION_NTAR_ID,0))</f>
        <v/>
      </c>
      <c r="H236" s="2488"/>
      <c r="I236" s="2365"/>
      <c r="J236" s="2399"/>
      <c r="K236" s="2404"/>
      <c r="L236" s="2488" t="s">
        <v>324</v>
      </c>
      <c r="M236" s="967"/>
      <c r="N236" s="960"/>
      <c r="O236" s="2250"/>
      <c r="P236" s="2250"/>
      <c r="AH236" s="2257">
        <v>0</v>
      </c>
    </row>
    <row s="34580" customFormat="1" customHeight="1" ht="18.75" hidden="1">
      <c r="A237" s="2406"/>
      <c r="B237" s="2406"/>
      <c r="C237" s="995" t="s">
        <v>1328</v>
      </c>
      <c r="D237" s="3088"/>
      <c r="E237" s="2830"/>
      <c r="F237" s="3009"/>
      <c r="G237" s="3053"/>
      <c r="H237" s="2126"/>
      <c r="I237" s="1277" t="s">
        <v>1327</v>
      </c>
      <c r="J237" s="1197"/>
      <c r="K237" s="2126"/>
      <c r="L237" s="840"/>
      <c r="M237" s="967"/>
      <c r="N237" s="960"/>
      <c r="O237" s="2250"/>
      <c r="P237" s="2250"/>
      <c r="AH237" s="2257">
        <v>0</v>
      </c>
    </row>
    <row s="34580" customFormat="1" customHeight="1" ht="0.75" hidden="1">
      <c r="A238" s="2406"/>
      <c r="B238" s="2406"/>
      <c r="C238" s="995" t="s">
        <v>1335</v>
      </c>
      <c r="D238" s="3088"/>
      <c r="E238" s="2830"/>
      <c r="F238" s="3009"/>
      <c r="G238" s="1026"/>
      <c r="H238" s="2126"/>
      <c r="I238" s="1277"/>
      <c r="J238" s="1197"/>
      <c r="K238" s="2126"/>
      <c r="L238" s="840"/>
      <c r="M238" s="967"/>
      <c r="N238" s="960"/>
      <c r="O238" s="2250"/>
      <c r="P238" s="2250"/>
      <c r="AH238" s="2257">
        <v>0</v>
      </c>
    </row>
    <row s="34580" customFormat="1" customHeight="1" ht="18.75" hidden="1">
      <c r="A239" s="2406" t="s">
        <v>248</v>
      </c>
      <c r="B239" s="2406" t="s">
        <v>249</v>
      </c>
      <c r="C239" s="995"/>
      <c r="D239" s="3088"/>
      <c r="E239" s="2830"/>
      <c r="F239" s="3009" t="str">
        <f>INDEX(PT_DIFFERENTIATION_VTAR,MATCH(A239,PT_DIFFERENTIATION_VTAR_ID,0))</f>
        <v>Тариф на техническую воду</v>
      </c>
      <c r="G239" s="3053" t="str">
        <f>INDEX(PT_DIFFERENTIATION_NTAR,MATCH(B239,PT_DIFFERENTIATION_NTAR_ID,0))</f>
        <v/>
      </c>
      <c r="H239" s="2488"/>
      <c r="I239" s="2365"/>
      <c r="J239" s="2399"/>
      <c r="K239" s="2404"/>
      <c r="L239" s="2488" t="s">
        <v>324</v>
      </c>
      <c r="M239" s="967"/>
      <c r="N239" s="960"/>
      <c r="O239" s="2250"/>
      <c r="P239" s="2250"/>
      <c r="AH239" s="2257">
        <v>0</v>
      </c>
    </row>
    <row s="34580" customFormat="1" customHeight="1" ht="18.75" hidden="1">
      <c r="A240" s="2406"/>
      <c r="B240" s="2406"/>
      <c r="C240" s="995" t="s">
        <v>1328</v>
      </c>
      <c r="D240" s="3088"/>
      <c r="E240" s="2830"/>
      <c r="F240" s="3009"/>
      <c r="G240" s="3053"/>
      <c r="H240" s="2126"/>
      <c r="I240" s="1277" t="s">
        <v>1327</v>
      </c>
      <c r="J240" s="1197"/>
      <c r="K240" s="2126"/>
      <c r="L240" s="840"/>
      <c r="M240" s="967"/>
      <c r="N240" s="960"/>
      <c r="O240" s="2250"/>
      <c r="P240" s="2250"/>
      <c r="AH240" s="2257">
        <v>0</v>
      </c>
    </row>
    <row s="34580" customFormat="1" customHeight="1" ht="0.75" hidden="1">
      <c r="A241" s="2406"/>
      <c r="B241" s="2406"/>
      <c r="C241" s="995" t="s">
        <v>1335</v>
      </c>
      <c r="D241" s="3088"/>
      <c r="E241" s="2830"/>
      <c r="F241" s="3009"/>
      <c r="G241" s="1026"/>
      <c r="H241" s="2126"/>
      <c r="I241" s="1277"/>
      <c r="J241" s="1197"/>
      <c r="K241" s="2126"/>
      <c r="L241" s="840"/>
      <c r="M241" s="967"/>
      <c r="N241" s="960"/>
      <c r="O241" s="2250"/>
      <c r="P241" s="2250"/>
      <c r="AH241" s="2257">
        <v>0</v>
      </c>
    </row>
    <row s="34580" customFormat="1" customHeight="1" ht="18.75" hidden="1">
      <c r="A242" s="2406" t="s">
        <v>253</v>
      </c>
      <c r="B242" s="2406" t="s">
        <v>254</v>
      </c>
      <c r="C242" s="995"/>
      <c r="D242" s="3088"/>
      <c r="E242" s="2830"/>
      <c r="F242" s="3009" t="str">
        <f>INDEX(PT_DIFFERENTIATION_VTAR,MATCH(A242,PT_DIFFERENTIATION_VTAR_ID,0))</f>
        <v>Тариф на транспортировку воды</v>
      </c>
      <c r="G242" s="3053" t="str">
        <f>INDEX(PT_DIFFERENTIATION_NTAR,MATCH(B242,PT_DIFFERENTIATION_NTAR_ID,0))</f>
        <v/>
      </c>
      <c r="H242" s="2488"/>
      <c r="I242" s="2365"/>
      <c r="J242" s="2399"/>
      <c r="K242" s="2404"/>
      <c r="L242" s="2488" t="s">
        <v>324</v>
      </c>
      <c r="M242" s="967"/>
      <c r="N242" s="960"/>
      <c r="O242" s="2250"/>
      <c r="P242" s="2250"/>
      <c r="AH242" s="2257">
        <v>0</v>
      </c>
    </row>
    <row s="34580" customFormat="1" customHeight="1" ht="18.75" hidden="1">
      <c r="A243" s="2406"/>
      <c r="B243" s="2406"/>
      <c r="C243" s="995" t="s">
        <v>1328</v>
      </c>
      <c r="D243" s="3088"/>
      <c r="E243" s="2830"/>
      <c r="F243" s="3009"/>
      <c r="G243" s="3053"/>
      <c r="H243" s="2126"/>
      <c r="I243" s="1277" t="s">
        <v>1327</v>
      </c>
      <c r="J243" s="1197"/>
      <c r="K243" s="2126"/>
      <c r="L243" s="840"/>
      <c r="M243" s="967"/>
      <c r="N243" s="960"/>
      <c r="O243" s="2250"/>
      <c r="P243" s="2250"/>
      <c r="AH243" s="2257">
        <v>0</v>
      </c>
    </row>
    <row s="34580" customFormat="1" customHeight="1" ht="0.75" hidden="1">
      <c r="A244" s="2406"/>
      <c r="B244" s="2406"/>
      <c r="C244" s="995" t="s">
        <v>1335</v>
      </c>
      <c r="D244" s="3088"/>
      <c r="E244" s="2830"/>
      <c r="F244" s="3009"/>
      <c r="G244" s="1026"/>
      <c r="H244" s="2126"/>
      <c r="I244" s="1277"/>
      <c r="J244" s="1197"/>
      <c r="K244" s="2126"/>
      <c r="L244" s="840"/>
      <c r="M244" s="967"/>
      <c r="N244" s="960"/>
      <c r="O244" s="2250"/>
      <c r="P244" s="2250"/>
      <c r="AH244" s="2257">
        <v>0</v>
      </c>
    </row>
    <row s="34580" customFormat="1" customHeight="1" ht="18.75" hidden="1">
      <c r="A245" s="2406" t="s">
        <v>258</v>
      </c>
      <c r="B245" s="2406" t="s">
        <v>259</v>
      </c>
      <c r="C245" s="995"/>
      <c r="D245" s="3088"/>
      <c r="E245" s="2830"/>
      <c r="F245" s="3009" t="str">
        <f>INDEX(PT_DIFFERENTIATION_VTAR,MATCH(A245,PT_DIFFERENTIATION_VTAR_ID,0))</f>
        <v>Тариф на подвоз воды</v>
      </c>
      <c r="G245" s="3053" t="str">
        <f>INDEX(PT_DIFFERENTIATION_NTAR,MATCH(B245,PT_DIFFERENTIATION_NTAR_ID,0))</f>
        <v/>
      </c>
      <c r="H245" s="2488"/>
      <c r="I245" s="2365"/>
      <c r="J245" s="2399"/>
      <c r="K245" s="2404"/>
      <c r="L245" s="2488" t="s">
        <v>324</v>
      </c>
      <c r="M245" s="967"/>
      <c r="N245" s="960"/>
      <c r="O245" s="2250"/>
      <c r="P245" s="2250"/>
      <c r="AH245" s="2257">
        <v>0</v>
      </c>
    </row>
    <row s="34580" customFormat="1" customHeight="1" ht="18.75" hidden="1">
      <c r="A246" s="2406"/>
      <c r="B246" s="2406"/>
      <c r="C246" s="995" t="s">
        <v>1328</v>
      </c>
      <c r="D246" s="3088"/>
      <c r="E246" s="2830"/>
      <c r="F246" s="3009"/>
      <c r="G246" s="3053"/>
      <c r="H246" s="2126"/>
      <c r="I246" s="1277" t="s">
        <v>1327</v>
      </c>
      <c r="J246" s="1197"/>
      <c r="K246" s="2126"/>
      <c r="L246" s="840"/>
      <c r="M246" s="967"/>
      <c r="N246" s="960"/>
      <c r="O246" s="2250"/>
      <c r="P246" s="2250"/>
      <c r="AH246" s="2257">
        <v>0</v>
      </c>
    </row>
    <row s="34580" customFormat="1" customHeight="1" ht="0.75" hidden="1">
      <c r="A247" s="2406"/>
      <c r="B247" s="2406"/>
      <c r="C247" s="995" t="s">
        <v>1335</v>
      </c>
      <c r="D247" s="3088"/>
      <c r="E247" s="2830"/>
      <c r="F247" s="3009"/>
      <c r="G247" s="1026"/>
      <c r="H247" s="2126"/>
      <c r="I247" s="1277"/>
      <c r="J247" s="1197"/>
      <c r="K247" s="2126"/>
      <c r="L247" s="840"/>
      <c r="M247" s="967"/>
      <c r="N247" s="960"/>
      <c r="O247" s="2250"/>
      <c r="P247" s="2250"/>
      <c r="AH247" s="2257">
        <v>0</v>
      </c>
    </row>
    <row s="34580" customFormat="1" customHeight="1" ht="18.75" hidden="1">
      <c r="A248" s="2406" t="s">
        <v>263</v>
      </c>
      <c r="B248" s="2406" t="s">
        <v>264</v>
      </c>
      <c r="C248" s="995"/>
      <c r="D248" s="3088"/>
      <c r="E248" s="2830"/>
      <c r="F248" s="300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053" t="str">
        <f>INDEX(PT_DIFFERENTIATION_NTAR,MATCH(B248,PT_DIFFERENTIATION_NTAR_ID,0))</f>
        <v/>
      </c>
      <c r="H248" s="2488"/>
      <c r="I248" s="2365"/>
      <c r="J248" s="2399"/>
      <c r="K248" s="2404"/>
      <c r="L248" s="2488" t="s">
        <v>324</v>
      </c>
      <c r="M248" s="967"/>
      <c r="N248" s="960"/>
      <c r="O248" s="2250"/>
      <c r="P248" s="2250"/>
      <c r="AH248" s="2257">
        <v>0</v>
      </c>
    </row>
    <row s="34580" customFormat="1" customHeight="1" ht="18.75" hidden="1">
      <c r="A249" s="2406"/>
      <c r="B249" s="2406"/>
      <c r="C249" s="995" t="s">
        <v>1328</v>
      </c>
      <c r="D249" s="3088"/>
      <c r="E249" s="2830"/>
      <c r="F249" s="3009"/>
      <c r="G249" s="3053"/>
      <c r="H249" s="2126"/>
      <c r="I249" s="1277" t="s">
        <v>1327</v>
      </c>
      <c r="J249" s="1197"/>
      <c r="K249" s="2126"/>
      <c r="L249" s="840"/>
      <c r="M249" s="967"/>
      <c r="N249" s="960"/>
      <c r="O249" s="2250"/>
      <c r="P249" s="2250"/>
      <c r="AH249" s="2257">
        <v>0</v>
      </c>
    </row>
    <row s="34580" customFormat="1" customHeight="1" ht="0.75" hidden="1">
      <c r="A250" s="2406"/>
      <c r="B250" s="2406"/>
      <c r="C250" s="995" t="s">
        <v>1335</v>
      </c>
      <c r="D250" s="3088"/>
      <c r="E250" s="2830"/>
      <c r="F250" s="3009"/>
      <c r="G250" s="1026"/>
      <c r="H250" s="2126"/>
      <c r="I250" s="1277"/>
      <c r="J250" s="1197"/>
      <c r="K250" s="2126"/>
      <c r="L250" s="840"/>
      <c r="M250" s="967"/>
      <c r="N250" s="960"/>
      <c r="O250" s="2250"/>
      <c r="P250" s="2250"/>
      <c r="AH250" s="2257">
        <v>0</v>
      </c>
    </row>
    <row s="34580" customFormat="1" customHeight="1" ht="18.75" hidden="1">
      <c r="A251" s="2406" t="s">
        <v>268</v>
      </c>
      <c r="B251" s="2406" t="s">
        <v>269</v>
      </c>
      <c r="C251" s="995"/>
      <c r="D251" s="3088"/>
      <c r="E251" s="2830"/>
      <c r="F251" s="3009" t="str">
        <f>INDEX(PT_DIFFERENTIATION_VTAR,MATCH(A251,PT_DIFFERENTIATION_VTAR_ID,0))</f>
        <v>Тариф на горячую воду (горячее водоснабжение)</v>
      </c>
      <c r="G251" s="3053" t="str">
        <f>INDEX(PT_DIFFERENTIATION_NTAR,MATCH(B251,PT_DIFFERENTIATION_NTAR_ID,0))</f>
        <v/>
      </c>
      <c r="H251" s="2488"/>
      <c r="I251" s="2365"/>
      <c r="J251" s="2399"/>
      <c r="K251" s="2404"/>
      <c r="L251" s="2488" t="s">
        <v>324</v>
      </c>
      <c r="M251" s="967"/>
      <c r="N251" s="960"/>
      <c r="O251" s="2250"/>
      <c r="P251" s="2250"/>
      <c r="AH251" s="2257">
        <v>0</v>
      </c>
    </row>
    <row s="34580" customFormat="1" customHeight="1" ht="18.75" hidden="1">
      <c r="A252" s="2406"/>
      <c r="B252" s="2406"/>
      <c r="C252" s="995" t="s">
        <v>1328</v>
      </c>
      <c r="D252" s="3088"/>
      <c r="E252" s="2830"/>
      <c r="F252" s="3009"/>
      <c r="G252" s="3053"/>
      <c r="H252" s="2126"/>
      <c r="I252" s="1277" t="s">
        <v>1327</v>
      </c>
      <c r="J252" s="1197"/>
      <c r="K252" s="2126"/>
      <c r="L252" s="840"/>
      <c r="M252" s="967"/>
      <c r="N252" s="960"/>
      <c r="O252" s="2250"/>
      <c r="P252" s="2250"/>
      <c r="AH252" s="2257">
        <v>0</v>
      </c>
    </row>
    <row s="34580" customFormat="1" customHeight="1" ht="0.75" hidden="1">
      <c r="A253" s="2406"/>
      <c r="B253" s="2406"/>
      <c r="C253" s="995" t="s">
        <v>1335</v>
      </c>
      <c r="D253" s="3088"/>
      <c r="E253" s="2830"/>
      <c r="F253" s="3009"/>
      <c r="G253" s="1026"/>
      <c r="H253" s="2126"/>
      <c r="I253" s="1277"/>
      <c r="J253" s="1197"/>
      <c r="K253" s="2126"/>
      <c r="L253" s="840"/>
      <c r="M253" s="967"/>
      <c r="N253" s="960"/>
      <c r="O253" s="2250"/>
      <c r="P253" s="2250"/>
      <c r="AH253" s="2257">
        <v>0</v>
      </c>
    </row>
    <row s="34580" customFormat="1" customHeight="1" ht="18.75" hidden="1">
      <c r="A254" s="2406" t="s">
        <v>273</v>
      </c>
      <c r="B254" s="2406" t="s">
        <v>274</v>
      </c>
      <c r="C254" s="995"/>
      <c r="D254" s="3088"/>
      <c r="E254" s="2830"/>
      <c r="F254" s="3009" t="str">
        <f>INDEX(PT_DIFFERENTIATION_VTAR,MATCH(A254,PT_DIFFERENTIATION_VTAR_ID,0))</f>
        <v>Тариф на транспортировку горячей воды</v>
      </c>
      <c r="G254" s="3053" t="str">
        <f>INDEX(PT_DIFFERENTIATION_NTAR,MATCH(B254,PT_DIFFERENTIATION_NTAR_ID,0))</f>
        <v/>
      </c>
      <c r="H254" s="2488"/>
      <c r="I254" s="2365"/>
      <c r="J254" s="2399"/>
      <c r="K254" s="2404"/>
      <c r="L254" s="2488" t="s">
        <v>324</v>
      </c>
      <c r="M254" s="967"/>
      <c r="N254" s="960"/>
      <c r="O254" s="2250"/>
      <c r="P254" s="2250"/>
      <c r="AH254" s="2257">
        <v>0</v>
      </c>
    </row>
    <row s="34580" customFormat="1" customHeight="1" ht="18.75" hidden="1">
      <c r="A255" s="2406"/>
      <c r="B255" s="2406"/>
      <c r="C255" s="995" t="s">
        <v>1328</v>
      </c>
      <c r="D255" s="3088"/>
      <c r="E255" s="2830"/>
      <c r="F255" s="3009"/>
      <c r="G255" s="3053"/>
      <c r="H255" s="2126"/>
      <c r="I255" s="1277" t="s">
        <v>1327</v>
      </c>
      <c r="J255" s="1197"/>
      <c r="K255" s="2126"/>
      <c r="L255" s="840"/>
      <c r="M255" s="967"/>
      <c r="N255" s="960"/>
      <c r="O255" s="2250"/>
      <c r="P255" s="2250"/>
      <c r="AH255" s="2257">
        <v>0</v>
      </c>
    </row>
    <row s="34580" customFormat="1" customHeight="1" ht="0.75" hidden="1">
      <c r="A256" s="2406"/>
      <c r="B256" s="2406"/>
      <c r="C256" s="995" t="s">
        <v>1335</v>
      </c>
      <c r="D256" s="3088"/>
      <c r="E256" s="2830"/>
      <c r="F256" s="3009"/>
      <c r="G256" s="1026"/>
      <c r="H256" s="2126"/>
      <c r="I256" s="1277"/>
      <c r="J256" s="1197"/>
      <c r="K256" s="2126"/>
      <c r="L256" s="840"/>
      <c r="M256" s="967"/>
      <c r="N256" s="960"/>
      <c r="O256" s="2250"/>
      <c r="P256" s="2250"/>
      <c r="AH256" s="2257">
        <v>0</v>
      </c>
    </row>
    <row s="34580" customFormat="1" customHeight="1" ht="18.75" hidden="1">
      <c r="A257" s="2406" t="s">
        <v>278</v>
      </c>
      <c r="B257" s="2406" t="s">
        <v>279</v>
      </c>
      <c r="C257" s="995"/>
      <c r="D257" s="3088"/>
      <c r="E257" s="2830"/>
      <c r="F257" s="3009" t="str">
        <f>INDEX(PT_DIFFERENTIATION_VTAR,MATCH(A257,PT_DIFFERENTIATION_VTAR_ID,0))</f>
        <v>Тариф на подключение (технологическое присоединение) к централизованной системе горячего водоснабжения</v>
      </c>
      <c r="G257" s="3053" t="str">
        <f>INDEX(PT_DIFFERENTIATION_NTAR,MATCH(B257,PT_DIFFERENTIATION_NTAR_ID,0))</f>
        <v/>
      </c>
      <c r="H257" s="2488"/>
      <c r="I257" s="2365"/>
      <c r="J257" s="2399"/>
      <c r="K257" s="2404"/>
      <c r="L257" s="2488" t="s">
        <v>324</v>
      </c>
      <c r="M257" s="967"/>
      <c r="N257" s="960"/>
      <c r="O257" s="2250"/>
      <c r="P257" s="2250"/>
      <c r="AH257" s="2257">
        <v>0</v>
      </c>
    </row>
    <row s="34580" customFormat="1" customHeight="1" ht="18.75" hidden="1">
      <c r="A258" s="2406"/>
      <c r="B258" s="2406"/>
      <c r="C258" s="995" t="s">
        <v>1328</v>
      </c>
      <c r="D258" s="3088"/>
      <c r="E258" s="2830"/>
      <c r="F258" s="3009"/>
      <c r="G258" s="3053"/>
      <c r="H258" s="2126"/>
      <c r="I258" s="1277" t="s">
        <v>1327</v>
      </c>
      <c r="J258" s="1197"/>
      <c r="K258" s="2126"/>
      <c r="L258" s="840"/>
      <c r="M258" s="967"/>
      <c r="N258" s="960"/>
      <c r="O258" s="2250"/>
      <c r="P258" s="2250"/>
      <c r="AH258" s="2257">
        <v>0</v>
      </c>
    </row>
    <row s="34580" customFormat="1" customHeight="1" ht="0.75" hidden="1">
      <c r="A259" s="2406"/>
      <c r="B259" s="2406"/>
      <c r="C259" s="995" t="s">
        <v>1335</v>
      </c>
      <c r="D259" s="3088"/>
      <c r="E259" s="2830"/>
      <c r="F259" s="3009"/>
      <c r="G259" s="1026"/>
      <c r="H259" s="2126"/>
      <c r="I259" s="1277"/>
      <c r="J259" s="1197"/>
      <c r="K259" s="2126"/>
      <c r="L259" s="840"/>
      <c r="M259" s="967"/>
      <c r="N259" s="960"/>
      <c r="O259" s="2250"/>
      <c r="P259" s="2250"/>
      <c r="AH259" s="2257">
        <v>0</v>
      </c>
    </row>
    <row s="34580" customFormat="1" customHeight="1" ht="18.75" hidden="1">
      <c r="A260" s="2406" t="s">
        <v>283</v>
      </c>
      <c r="B260" s="2406" t="s">
        <v>284</v>
      </c>
      <c r="C260" s="995"/>
      <c r="D260" s="3088"/>
      <c r="E260" s="2830"/>
      <c r="F260" s="3009" t="str">
        <f>INDEX(PT_DIFFERENTIATION_VTAR,MATCH(A260,PT_DIFFERENTIATION_VTAR_ID,0))</f>
        <v>Тариф на водоотведение</v>
      </c>
      <c r="G260" s="3053" t="str">
        <f>INDEX(PT_DIFFERENTIATION_NTAR,MATCH(B260,PT_DIFFERENTIATION_NTAR_ID,0))</f>
        <v/>
      </c>
      <c r="H260" s="2488"/>
      <c r="I260" s="2365"/>
      <c r="J260" s="2399"/>
      <c r="K260" s="2404"/>
      <c r="L260" s="2488" t="s">
        <v>324</v>
      </c>
      <c r="M260" s="967"/>
      <c r="N260" s="960"/>
      <c r="O260" s="2250"/>
      <c r="P260" s="2250"/>
      <c r="AH260" s="2257">
        <v>0</v>
      </c>
    </row>
    <row s="34580" customFormat="1" customHeight="1" ht="18.75" hidden="1">
      <c r="A261" s="2406"/>
      <c r="B261" s="2406"/>
      <c r="C261" s="995" t="s">
        <v>1328</v>
      </c>
      <c r="D261" s="3088"/>
      <c r="E261" s="2830"/>
      <c r="F261" s="3009"/>
      <c r="G261" s="3053"/>
      <c r="H261" s="2126"/>
      <c r="I261" s="1277" t="s">
        <v>1327</v>
      </c>
      <c r="J261" s="1197"/>
      <c r="K261" s="2126"/>
      <c r="L261" s="840"/>
      <c r="M261" s="967"/>
      <c r="N261" s="960"/>
      <c r="O261" s="2250"/>
      <c r="P261" s="2250"/>
      <c r="AH261" s="2257">
        <v>0</v>
      </c>
    </row>
    <row s="34580" customFormat="1" customHeight="1" ht="0.75" hidden="1">
      <c r="A262" s="2406"/>
      <c r="B262" s="2406"/>
      <c r="C262" s="995" t="s">
        <v>1335</v>
      </c>
      <c r="D262" s="3088"/>
      <c r="E262" s="2830"/>
      <c r="F262" s="3009"/>
      <c r="G262" s="1026"/>
      <c r="H262" s="2126"/>
      <c r="I262" s="1277"/>
      <c r="J262" s="1197"/>
      <c r="K262" s="2126"/>
      <c r="L262" s="840"/>
      <c r="M262" s="967"/>
      <c r="N262" s="960"/>
      <c r="O262" s="2250"/>
      <c r="P262" s="2250"/>
      <c r="AH262" s="2257">
        <v>0</v>
      </c>
    </row>
    <row s="34580" customFormat="1" customHeight="1" ht="18.75" hidden="1">
      <c r="A263" s="2406" t="s">
        <v>288</v>
      </c>
      <c r="B263" s="2406" t="s">
        <v>289</v>
      </c>
      <c r="C263" s="995"/>
      <c r="D263" s="3088"/>
      <c r="E263" s="2830"/>
      <c r="F263" s="3009" t="str">
        <f>INDEX(PT_DIFFERENTIATION_VTAR,MATCH(A263,PT_DIFFERENTIATION_VTAR_ID,0))</f>
        <v>Тариф на транспортировку сточных вод</v>
      </c>
      <c r="G263" s="3053" t="str">
        <f>INDEX(PT_DIFFERENTIATION_NTAR,MATCH(B263,PT_DIFFERENTIATION_NTAR_ID,0))</f>
        <v/>
      </c>
      <c r="H263" s="2488"/>
      <c r="I263" s="2365"/>
      <c r="J263" s="2399"/>
      <c r="K263" s="2404"/>
      <c r="L263" s="2488" t="s">
        <v>324</v>
      </c>
      <c r="M263" s="967"/>
      <c r="N263" s="960"/>
      <c r="O263" s="2250"/>
      <c r="P263" s="2250"/>
      <c r="AH263" s="2257">
        <v>0</v>
      </c>
    </row>
    <row s="34580" customFormat="1" customHeight="1" ht="18.75" hidden="1">
      <c r="A264" s="2406"/>
      <c r="B264" s="2406"/>
      <c r="C264" s="995" t="s">
        <v>1328</v>
      </c>
      <c r="D264" s="3088"/>
      <c r="E264" s="2830"/>
      <c r="F264" s="3009"/>
      <c r="G264" s="3053"/>
      <c r="H264" s="2126"/>
      <c r="I264" s="1277" t="s">
        <v>1327</v>
      </c>
      <c r="J264" s="1197"/>
      <c r="K264" s="2126"/>
      <c r="L264" s="840"/>
      <c r="M264" s="967"/>
      <c r="N264" s="960"/>
      <c r="O264" s="2250"/>
      <c r="P264" s="2250"/>
      <c r="AH264" s="2257">
        <v>0</v>
      </c>
    </row>
    <row s="34580" customFormat="1" customHeight="1" ht="0.75" hidden="1">
      <c r="A265" s="2406"/>
      <c r="B265" s="2406"/>
      <c r="C265" s="995" t="s">
        <v>1335</v>
      </c>
      <c r="D265" s="3088"/>
      <c r="E265" s="2830"/>
      <c r="F265" s="3009"/>
      <c r="G265" s="1026"/>
      <c r="H265" s="2126"/>
      <c r="I265" s="1277"/>
      <c r="J265" s="1197"/>
      <c r="K265" s="2126"/>
      <c r="L265" s="840"/>
      <c r="M265" s="967"/>
      <c r="N265" s="960"/>
      <c r="O265" s="2250"/>
      <c r="P265" s="2250"/>
      <c r="AH265" s="2257">
        <v>0</v>
      </c>
    </row>
    <row s="34580" customFormat="1" customHeight="1" ht="18.75" hidden="1">
      <c r="A266" s="2406" t="s">
        <v>293</v>
      </c>
      <c r="B266" s="2406" t="s">
        <v>294</v>
      </c>
      <c r="C266" s="995"/>
      <c r="D266" s="3088"/>
      <c r="E266" s="2830"/>
      <c r="F266" s="3009" t="str">
        <f>INDEX(PT_DIFFERENTIATION_VTAR,MATCH(A266,PT_DIFFERENTIATION_VTAR_ID,0))</f>
        <v>Тариф на подключение (технологическое присоединение) к централизованной системе водоотведения</v>
      </c>
      <c r="G266" s="3053" t="str">
        <f>INDEX(PT_DIFFERENTIATION_NTAR,MATCH(B266,PT_DIFFERENTIATION_NTAR_ID,0))</f>
        <v/>
      </c>
      <c r="H266" s="2488"/>
      <c r="I266" s="2365"/>
      <c r="J266" s="2399"/>
      <c r="K266" s="2404"/>
      <c r="L266" s="2488" t="s">
        <v>324</v>
      </c>
      <c r="M266" s="967"/>
      <c r="N266" s="960"/>
      <c r="O266" s="2250"/>
      <c r="P266" s="2250"/>
      <c r="AH266" s="2257">
        <v>0</v>
      </c>
    </row>
    <row s="34580" customFormat="1" customHeight="1" ht="18.75" hidden="1">
      <c r="A267" s="2406"/>
      <c r="B267" s="2406"/>
      <c r="C267" s="995" t="s">
        <v>1328</v>
      </c>
      <c r="D267" s="3088"/>
      <c r="E267" s="2830"/>
      <c r="F267" s="3009"/>
      <c r="G267" s="3053"/>
      <c r="H267" s="2126"/>
      <c r="I267" s="1277" t="s">
        <v>1327</v>
      </c>
      <c r="J267" s="1197"/>
      <c r="K267" s="2126"/>
      <c r="L267" s="840"/>
      <c r="M267" s="967"/>
      <c r="N267" s="960"/>
      <c r="O267" s="2250"/>
      <c r="P267" s="2250"/>
      <c r="AH267" s="2257">
        <v>0</v>
      </c>
    </row>
    <row s="34580" customFormat="1" customHeight="1" ht="1.05">
      <c r="A268" s="2406"/>
      <c r="B268" s="2406"/>
      <c r="C268" s="995" t="s">
        <v>1335</v>
      </c>
      <c r="D268" s="3088"/>
      <c r="E268" s="2830"/>
      <c r="F268" s="3009"/>
      <c r="G268" s="1026"/>
      <c r="H268" s="2126"/>
      <c r="I268" s="1277"/>
      <c r="J268" s="1197"/>
      <c r="K268" s="2126"/>
      <c r="L268" s="840"/>
      <c r="M268" s="967"/>
      <c r="N268" s="960"/>
      <c r="O268" s="2250"/>
      <c r="P268" s="2250"/>
      <c r="AH268" s="2257">
        <v>1</v>
      </c>
    </row>
    <row customHeight="1" ht="27.299999999999997">
      <c r="A269" s="2406"/>
      <c r="B269" s="2406"/>
      <c r="D269" s="1002"/>
      <c r="E269" s="773" t="s">
        <v>92</v>
      </c>
      <c r="F269" s="308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086"/>
      <c r="H269" s="3086"/>
      <c r="I269" s="3086"/>
      <c r="J269" s="3086"/>
      <c r="K269" s="3086"/>
      <c r="L269" s="3086"/>
      <c r="M269" s="923"/>
      <c r="N269" s="960"/>
      <c r="AH269" s="1000">
        <v>26</v>
      </c>
    </row>
    <row s="34580" customFormat="1" customHeight="1" ht="60.75" hidden="1">
      <c r="A270" s="2406" t="s">
        <v>175</v>
      </c>
      <c r="B270" s="2406" t="s">
        <v>176</v>
      </c>
      <c r="C270" s="995"/>
      <c r="D270" s="3088"/>
      <c r="E270" s="2830"/>
      <c r="F270" s="300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053" t="str">
        <f>INDEX(PT_DIFFERENTIATION_NTAR,MATCH(B270,PT_DIFFERENTIATION_NTAR_ID,0))</f>
        <v/>
      </c>
      <c r="H270" s="2488"/>
      <c r="I270" s="2365"/>
      <c r="J270" s="2399"/>
      <c r="K270" s="2404"/>
      <c r="L270" s="2488" t="s">
        <v>324</v>
      </c>
      <c r="M270" s="27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960"/>
      <c r="O270" s="2250"/>
      <c r="P270" s="2250"/>
      <c r="AH270" s="2257">
        <v>0</v>
      </c>
    </row>
    <row s="34580" customFormat="1" customHeight="1" ht="18.75" hidden="1">
      <c r="A271" s="2406"/>
      <c r="B271" s="2406"/>
      <c r="C271" s="995" t="s">
        <v>1328</v>
      </c>
      <c r="D271" s="3088"/>
      <c r="E271" s="2830"/>
      <c r="F271" s="3009"/>
      <c r="G271" s="3053"/>
      <c r="H271" s="2126"/>
      <c r="I271" s="1277" t="s">
        <v>1327</v>
      </c>
      <c r="J271" s="1197"/>
      <c r="K271" s="2126"/>
      <c r="L271" s="840"/>
      <c r="M271" s="2796"/>
      <c r="N271" s="960"/>
      <c r="O271" s="2250"/>
      <c r="P271" s="2250"/>
      <c r="AH271" s="2257">
        <v>0</v>
      </c>
    </row>
    <row s="34580" customFormat="1" customHeight="1" ht="0.75" hidden="1">
      <c r="A272" s="2406"/>
      <c r="B272" s="2406"/>
      <c r="C272" s="995" t="s">
        <v>1335</v>
      </c>
      <c r="D272" s="3088"/>
      <c r="E272" s="2830"/>
      <c r="F272" s="3009"/>
      <c r="G272" s="1026"/>
      <c r="H272" s="2126"/>
      <c r="I272" s="1277"/>
      <c r="J272" s="1197"/>
      <c r="K272" s="2126"/>
      <c r="L272" s="840"/>
      <c r="M272" s="2796"/>
      <c r="N272" s="960"/>
      <c r="O272" s="2250"/>
      <c r="P272" s="2250"/>
      <c r="AH272" s="2257">
        <v>0</v>
      </c>
    </row>
    <row s="34580" customFormat="1" customHeight="1" ht="45" hidden="1">
      <c r="A273" s="2406" t="s">
        <v>180</v>
      </c>
      <c r="B273" s="2406" t="s">
        <v>181</v>
      </c>
      <c r="C273" s="995"/>
      <c r="D273" s="3088"/>
      <c r="E273" s="2830"/>
      <c r="F273" s="3009" t="str">
        <f>INDEX(PT_DIFFERENTIATION_VTAR,MATCH(A273,PT_DIFFERENTIATION_VTAR_ID,0))</f>
        <v/>
      </c>
      <c r="G273" s="3053" t="str">
        <f>INDEX(PT_DIFFERENTIATION_NTAR,MATCH(B273,PT_DIFFERENTIATION_NTAR_ID,0))</f>
        <v/>
      </c>
      <c r="H273" s="2488"/>
      <c r="I273" s="2365"/>
      <c r="J273" s="2399"/>
      <c r="K273" s="2404"/>
      <c r="L273" s="2488" t="s">
        <v>324</v>
      </c>
      <c r="M273" s="2797"/>
      <c r="N273" s="960"/>
      <c r="O273" s="2250"/>
      <c r="P273" s="2250"/>
      <c r="AH273" s="2257">
        <v>0</v>
      </c>
    </row>
    <row s="34580" customFormat="1" customHeight="1" ht="18.75" hidden="1">
      <c r="A274" s="2406"/>
      <c r="B274" s="2406"/>
      <c r="C274" s="995" t="s">
        <v>1328</v>
      </c>
      <c r="D274" s="3088"/>
      <c r="E274" s="2830"/>
      <c r="F274" s="3009"/>
      <c r="G274" s="3053"/>
      <c r="H274" s="2126"/>
      <c r="I274" s="1277" t="s">
        <v>1327</v>
      </c>
      <c r="J274" s="1197"/>
      <c r="K274" s="2126"/>
      <c r="L274" s="840"/>
      <c r="M274" s="2487"/>
      <c r="N274" s="960"/>
      <c r="O274" s="2250"/>
      <c r="P274" s="2250"/>
      <c r="AH274" s="2257">
        <v>0</v>
      </c>
    </row>
    <row s="34580" customFormat="1" customHeight="1" ht="0.75" hidden="1">
      <c r="A275" s="2406"/>
      <c r="B275" s="2406"/>
      <c r="C275" s="995" t="s">
        <v>1335</v>
      </c>
      <c r="D275" s="3088"/>
      <c r="E275" s="2830"/>
      <c r="F275" s="3009"/>
      <c r="G275" s="1026"/>
      <c r="H275" s="2126"/>
      <c r="I275" s="1277"/>
      <c r="J275" s="1197"/>
      <c r="K275" s="2126"/>
      <c r="L275" s="840"/>
      <c r="M275" s="967"/>
      <c r="N275" s="960"/>
      <c r="O275" s="2250"/>
      <c r="P275" s="2250"/>
      <c r="AH275" s="2257">
        <v>0</v>
      </c>
    </row>
    <row s="34580" customFormat="1" customHeight="1" ht="45" hidden="1">
      <c r="A276" s="2406" t="s">
        <v>187</v>
      </c>
      <c r="B276" s="2406" t="s">
        <v>188</v>
      </c>
      <c r="C276" s="995"/>
      <c r="D276" s="3088"/>
      <c r="E276" s="2830"/>
      <c r="F276" s="300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053" t="str">
        <f>INDEX(PT_DIFFERENTIATION_NTAR,MATCH(B276,PT_DIFFERENTIATION_NTAR_ID,0))</f>
        <v/>
      </c>
      <c r="H276" s="2488"/>
      <c r="I276" s="2365"/>
      <c r="J276" s="2399"/>
      <c r="K276" s="2404"/>
      <c r="L276" s="2488" t="s">
        <v>324</v>
      </c>
      <c r="M276" s="967"/>
      <c r="N276" s="960"/>
      <c r="O276" s="2250"/>
      <c r="P276" s="2250"/>
      <c r="AH276" s="2257">
        <v>0</v>
      </c>
    </row>
    <row s="34580" customFormat="1" customHeight="1" ht="18.75" hidden="1">
      <c r="A277" s="2406"/>
      <c r="B277" s="2406"/>
      <c r="C277" s="995" t="s">
        <v>1328</v>
      </c>
      <c r="D277" s="3088"/>
      <c r="E277" s="2830"/>
      <c r="F277" s="3009"/>
      <c r="G277" s="3053"/>
      <c r="H277" s="2126"/>
      <c r="I277" s="1277" t="s">
        <v>1327</v>
      </c>
      <c r="J277" s="1197"/>
      <c r="K277" s="2126"/>
      <c r="L277" s="840"/>
      <c r="M277" s="967"/>
      <c r="N277" s="960"/>
      <c r="O277" s="2250"/>
      <c r="P277" s="2250"/>
      <c r="AH277" s="2257">
        <v>0</v>
      </c>
    </row>
    <row s="34580" customFormat="1" customHeight="1" ht="0.75" hidden="1">
      <c r="A278" s="2406"/>
      <c r="B278" s="2406"/>
      <c r="C278" s="995" t="s">
        <v>1335</v>
      </c>
      <c r="D278" s="3088"/>
      <c r="E278" s="2830"/>
      <c r="F278" s="3009"/>
      <c r="G278" s="1026"/>
      <c r="H278" s="2126"/>
      <c r="I278" s="1277"/>
      <c r="J278" s="1197"/>
      <c r="K278" s="2126"/>
      <c r="L278" s="840"/>
      <c r="M278" s="967"/>
      <c r="N278" s="960"/>
      <c r="O278" s="2250"/>
      <c r="P278" s="2250"/>
      <c r="AH278" s="2257">
        <v>0</v>
      </c>
    </row>
    <row s="34580" customFormat="1" customHeight="1" ht="45" hidden="1">
      <c r="A279" s="2406" t="s">
        <v>193</v>
      </c>
      <c r="B279" s="2406" t="s">
        <v>194</v>
      </c>
      <c r="C279" s="995"/>
      <c r="D279" s="3088"/>
      <c r="E279" s="2830"/>
      <c r="F279" s="300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053" t="str">
        <f>INDEX(PT_DIFFERENTIATION_NTAR,MATCH(B279,PT_DIFFERENTIATION_NTAR_ID,0))</f>
        <v/>
      </c>
      <c r="H279" s="2488"/>
      <c r="I279" s="2365"/>
      <c r="J279" s="2399"/>
      <c r="K279" s="2404"/>
      <c r="L279" s="2488" t="s">
        <v>324</v>
      </c>
      <c r="M279" s="967"/>
      <c r="N279" s="960"/>
      <c r="O279" s="2250"/>
      <c r="P279" s="2250"/>
      <c r="AH279" s="2257">
        <v>0</v>
      </c>
    </row>
    <row s="34580" customFormat="1" customHeight="1" ht="18.75" hidden="1">
      <c r="A280" s="2406"/>
      <c r="B280" s="2406"/>
      <c r="C280" s="995" t="s">
        <v>1328</v>
      </c>
      <c r="D280" s="3088"/>
      <c r="E280" s="2830"/>
      <c r="F280" s="3009"/>
      <c r="G280" s="3053"/>
      <c r="H280" s="2126"/>
      <c r="I280" s="1277" t="s">
        <v>1327</v>
      </c>
      <c r="J280" s="1197"/>
      <c r="K280" s="2126"/>
      <c r="L280" s="840"/>
      <c r="M280" s="967"/>
      <c r="N280" s="960"/>
      <c r="O280" s="2250"/>
      <c r="P280" s="2250"/>
      <c r="AH280" s="2257">
        <v>0</v>
      </c>
    </row>
    <row s="34580" customFormat="1" customHeight="1" ht="0.75" hidden="1">
      <c r="A281" s="2406"/>
      <c r="B281" s="2406"/>
      <c r="C281" s="995" t="s">
        <v>1335</v>
      </c>
      <c r="D281" s="3088"/>
      <c r="E281" s="2830"/>
      <c r="F281" s="3009"/>
      <c r="G281" s="1026"/>
      <c r="H281" s="2126"/>
      <c r="I281" s="1277"/>
      <c r="J281" s="1197"/>
      <c r="K281" s="2126"/>
      <c r="L281" s="840"/>
      <c r="M281" s="967"/>
      <c r="N281" s="960"/>
      <c r="O281" s="2250"/>
      <c r="P281" s="2250"/>
      <c r="AH281" s="2257">
        <v>0</v>
      </c>
    </row>
    <row s="34580" customFormat="1" customHeight="1" ht="18.75" hidden="1">
      <c r="A282" s="2406" t="s">
        <v>199</v>
      </c>
      <c r="B282" s="2406" t="s">
        <v>200</v>
      </c>
      <c r="C282" s="995"/>
      <c r="D282" s="3088"/>
      <c r="E282" s="2830"/>
      <c r="F282" s="3009" t="str">
        <f>INDEX(PT_DIFFERENTIATION_VTAR,MATCH(A282,PT_DIFFERENTIATION_VTAR_ID,0))</f>
        <v>Тарифы на услуги по передаче тепловой энергии</v>
      </c>
      <c r="G282" s="3053" t="str">
        <f>INDEX(PT_DIFFERENTIATION_NTAR,MATCH(B282,PT_DIFFERENTIATION_NTAR_ID,0))</f>
        <v/>
      </c>
      <c r="H282" s="2488"/>
      <c r="I282" s="2365"/>
      <c r="J282" s="2399"/>
      <c r="K282" s="2404"/>
      <c r="L282" s="2488" t="s">
        <v>324</v>
      </c>
      <c r="M282" s="967"/>
      <c r="N282" s="960"/>
      <c r="O282" s="2250"/>
      <c r="P282" s="2250"/>
      <c r="AH282" s="2257">
        <v>0</v>
      </c>
    </row>
    <row s="34580" customFormat="1" customHeight="1" ht="18.75" hidden="1">
      <c r="A283" s="2406"/>
      <c r="B283" s="2406"/>
      <c r="C283" s="995" t="s">
        <v>1328</v>
      </c>
      <c r="D283" s="3088"/>
      <c r="E283" s="2830"/>
      <c r="F283" s="3009"/>
      <c r="G283" s="3053"/>
      <c r="H283" s="2126"/>
      <c r="I283" s="1277" t="s">
        <v>1327</v>
      </c>
      <c r="J283" s="1197"/>
      <c r="K283" s="2126"/>
      <c r="L283" s="840"/>
      <c r="M283" s="967"/>
      <c r="N283" s="960"/>
      <c r="O283" s="2250"/>
      <c r="P283" s="2250"/>
      <c r="AH283" s="2257">
        <v>0</v>
      </c>
    </row>
    <row s="34580" customFormat="1" customHeight="1" ht="0.75" hidden="1">
      <c r="A284" s="2406"/>
      <c r="B284" s="2406"/>
      <c r="C284" s="995" t="s">
        <v>1335</v>
      </c>
      <c r="D284" s="3088"/>
      <c r="E284" s="2830"/>
      <c r="F284" s="3009"/>
      <c r="G284" s="1026"/>
      <c r="H284" s="2126"/>
      <c r="I284" s="1277"/>
      <c r="J284" s="1197"/>
      <c r="K284" s="2126"/>
      <c r="L284" s="840"/>
      <c r="M284" s="967"/>
      <c r="N284" s="960"/>
      <c r="O284" s="2250"/>
      <c r="P284" s="2250"/>
      <c r="AH284" s="2257">
        <v>0</v>
      </c>
    </row>
    <row s="34580" customFormat="1" customHeight="1" ht="18.75" hidden="1">
      <c r="A285" s="2406" t="s">
        <v>205</v>
      </c>
      <c r="B285" s="2406" t="s">
        <v>206</v>
      </c>
      <c r="C285" s="995"/>
      <c r="D285" s="3088"/>
      <c r="E285" s="2830"/>
      <c r="F285" s="3009" t="str">
        <f>INDEX(PT_DIFFERENTIATION_VTAR,MATCH(A285,PT_DIFFERENTIATION_VTAR_ID,0))</f>
        <v>Тарифы на услуги по передаче теплоносителя</v>
      </c>
      <c r="G285" s="3053" t="str">
        <f>INDEX(PT_DIFFERENTIATION_NTAR,MATCH(B285,PT_DIFFERENTIATION_NTAR_ID,0))</f>
        <v/>
      </c>
      <c r="H285" s="2488"/>
      <c r="I285" s="2365"/>
      <c r="J285" s="2399"/>
      <c r="K285" s="2404"/>
      <c r="L285" s="2488" t="s">
        <v>324</v>
      </c>
      <c r="M285" s="967"/>
      <c r="N285" s="960"/>
      <c r="O285" s="2250"/>
      <c r="P285" s="2250"/>
      <c r="AH285" s="2257">
        <v>0</v>
      </c>
    </row>
    <row s="34580" customFormat="1" customHeight="1" ht="18.75" hidden="1">
      <c r="A286" s="2406"/>
      <c r="B286" s="2406"/>
      <c r="C286" s="995" t="s">
        <v>1328</v>
      </c>
      <c r="D286" s="3088"/>
      <c r="E286" s="2830"/>
      <c r="F286" s="3009"/>
      <c r="G286" s="3053"/>
      <c r="H286" s="2126"/>
      <c r="I286" s="1277" t="s">
        <v>1327</v>
      </c>
      <c r="J286" s="1197"/>
      <c r="K286" s="2126"/>
      <c r="L286" s="840"/>
      <c r="M286" s="967"/>
      <c r="N286" s="960"/>
      <c r="O286" s="2250"/>
      <c r="P286" s="2250"/>
      <c r="AH286" s="2257">
        <v>0</v>
      </c>
    </row>
    <row s="34580" customFormat="1" customHeight="1" ht="0.75" hidden="1">
      <c r="A287" s="2406"/>
      <c r="B287" s="2406"/>
      <c r="C287" s="995" t="s">
        <v>1335</v>
      </c>
      <c r="D287" s="3088"/>
      <c r="E287" s="2830"/>
      <c r="F287" s="3009"/>
      <c r="G287" s="1026"/>
      <c r="H287" s="2126"/>
      <c r="I287" s="1277"/>
      <c r="J287" s="1197"/>
      <c r="K287" s="2126"/>
      <c r="L287" s="840"/>
      <c r="M287" s="967"/>
      <c r="N287" s="960"/>
      <c r="O287" s="2250"/>
      <c r="P287" s="2250"/>
      <c r="AH287" s="2257">
        <v>0</v>
      </c>
    </row>
    <row s="34580" customFormat="1" customHeight="1" ht="18.75" hidden="1">
      <c r="A288" s="2406" t="s">
        <v>211</v>
      </c>
      <c r="B288" s="2406" t="s">
        <v>212</v>
      </c>
      <c r="C288" s="995"/>
      <c r="D288" s="3088"/>
      <c r="E288" s="2830"/>
      <c r="F288" s="300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053" t="str">
        <f>INDEX(PT_DIFFERENTIATION_NTAR,MATCH(B288,PT_DIFFERENTIATION_NTAR_ID,0))</f>
        <v/>
      </c>
      <c r="H288" s="2488"/>
      <c r="I288" s="2365"/>
      <c r="J288" s="2399"/>
      <c r="K288" s="2404"/>
      <c r="L288" s="2488" t="s">
        <v>324</v>
      </c>
      <c r="M288" s="967"/>
      <c r="N288" s="960"/>
      <c r="O288" s="2250"/>
      <c r="P288" s="2250"/>
      <c r="AH288" s="2257">
        <v>0</v>
      </c>
    </row>
    <row s="34580" customFormat="1" customHeight="1" ht="18.75" hidden="1">
      <c r="A289" s="2406"/>
      <c r="B289" s="2406"/>
      <c r="C289" s="995" t="s">
        <v>1328</v>
      </c>
      <c r="D289" s="3088"/>
      <c r="E289" s="2830"/>
      <c r="F289" s="3009"/>
      <c r="G289" s="3053"/>
      <c r="H289" s="2126"/>
      <c r="I289" s="1277" t="s">
        <v>1327</v>
      </c>
      <c r="J289" s="1197"/>
      <c r="K289" s="2126"/>
      <c r="L289" s="840"/>
      <c r="M289" s="967"/>
      <c r="N289" s="960"/>
      <c r="O289" s="2250"/>
      <c r="P289" s="2250"/>
      <c r="AH289" s="2257">
        <v>0</v>
      </c>
    </row>
    <row s="34580" customFormat="1" customHeight="1" ht="0.75" hidden="1">
      <c r="A290" s="2406"/>
      <c r="B290" s="2406"/>
      <c r="C290" s="995" t="s">
        <v>1335</v>
      </c>
      <c r="D290" s="3088"/>
      <c r="E290" s="2830"/>
      <c r="F290" s="3009"/>
      <c r="G290" s="1026"/>
      <c r="H290" s="2126"/>
      <c r="I290" s="1277"/>
      <c r="J290" s="1197"/>
      <c r="K290" s="2126"/>
      <c r="L290" s="840"/>
      <c r="M290" s="967"/>
      <c r="N290" s="960"/>
      <c r="O290" s="2250"/>
      <c r="P290" s="2250"/>
      <c r="AH290" s="2257">
        <v>0</v>
      </c>
    </row>
    <row s="34580" customFormat="1" customHeight="1" ht="18.75" hidden="1">
      <c r="A291" s="2406" t="s">
        <v>217</v>
      </c>
      <c r="B291" s="2406" t="s">
        <v>218</v>
      </c>
      <c r="C291" s="995"/>
      <c r="D291" s="3088"/>
      <c r="E291" s="2830"/>
      <c r="F291" s="3009" t="str">
        <f>INDEX(PT_DIFFERENTIATION_VTAR,MATCH(A291,PT_DIFFERENTIATION_VTAR_ID,0))</f>
        <v>Плата за подключение (технологическое присоединение) к системе теплоснабжения</v>
      </c>
      <c r="G291" s="3053" t="str">
        <f>INDEX(PT_DIFFERENTIATION_NTAR,MATCH(B291,PT_DIFFERENTIATION_NTAR_ID,0))</f>
        <v/>
      </c>
      <c r="H291" s="2488"/>
      <c r="I291" s="2365"/>
      <c r="J291" s="2399"/>
      <c r="K291" s="2404"/>
      <c r="L291" s="2488" t="s">
        <v>324</v>
      </c>
      <c r="M291" s="967"/>
      <c r="N291" s="960"/>
      <c r="O291" s="2250"/>
      <c r="P291" s="2250"/>
      <c r="AH291" s="2257">
        <v>0</v>
      </c>
    </row>
    <row s="34580" customFormat="1" customHeight="1" ht="18.75" hidden="1">
      <c r="A292" s="2406"/>
      <c r="B292" s="2406"/>
      <c r="C292" s="995" t="s">
        <v>1328</v>
      </c>
      <c r="D292" s="3088"/>
      <c r="E292" s="2830"/>
      <c r="F292" s="3009"/>
      <c r="G292" s="3053"/>
      <c r="H292" s="2126"/>
      <c r="I292" s="1277" t="s">
        <v>1327</v>
      </c>
      <c r="J292" s="1197"/>
      <c r="K292" s="2126"/>
      <c r="L292" s="840"/>
      <c r="M292" s="967"/>
      <c r="N292" s="960"/>
      <c r="O292" s="2250"/>
      <c r="P292" s="2250"/>
      <c r="AH292" s="2257">
        <v>0</v>
      </c>
    </row>
    <row s="34580" customFormat="1" customHeight="1" ht="0.75" hidden="1">
      <c r="A293" s="2406"/>
      <c r="B293" s="2406"/>
      <c r="C293" s="995" t="s">
        <v>1335</v>
      </c>
      <c r="D293" s="3088"/>
      <c r="E293" s="2830"/>
      <c r="F293" s="3009"/>
      <c r="G293" s="1026"/>
      <c r="H293" s="2126"/>
      <c r="I293" s="1277"/>
      <c r="J293" s="1197"/>
      <c r="K293" s="2126"/>
      <c r="L293" s="840"/>
      <c r="M293" s="967"/>
      <c r="N293" s="960"/>
      <c r="O293" s="2250"/>
      <c r="P293" s="2250"/>
      <c r="AH293" s="2257">
        <v>0</v>
      </c>
    </row>
    <row s="34580" customFormat="1" customHeight="1" ht="18.75" hidden="1">
      <c r="A294" s="2406" t="s">
        <v>223</v>
      </c>
      <c r="B294" s="2406" t="s">
        <v>224</v>
      </c>
      <c r="C294" s="995"/>
      <c r="D294" s="3088"/>
      <c r="E294" s="2830"/>
      <c r="F294" s="3009" t="str">
        <f>INDEX(PT_DIFFERENTIATION_VTAR,MATCH(A294,PT_DIFFERENTIATION_VTAR_ID,0))</f>
        <v>Плата за подключение (технологическое присоединение) к системе теплоснабжения (индивидуальная)</v>
      </c>
      <c r="G294" s="3053" t="str">
        <f>INDEX(PT_DIFFERENTIATION_NTAR,MATCH(B294,PT_DIFFERENTIATION_NTAR_ID,0))</f>
        <v/>
      </c>
      <c r="H294" s="2615"/>
      <c r="I294" s="2365"/>
      <c r="J294" s="2399"/>
      <c r="K294" s="2404"/>
      <c r="L294" s="2615" t="s">
        <v>324</v>
      </c>
      <c r="M294" s="967"/>
      <c r="N294" s="960"/>
      <c r="O294" s="2250"/>
      <c r="P294" s="2250"/>
      <c r="AH294" s="2257">
        <v>0</v>
      </c>
    </row>
    <row s="34580" customFormat="1" customHeight="1" ht="18.75" hidden="1">
      <c r="A295" s="2406"/>
      <c r="B295" s="2406"/>
      <c r="C295" s="995" t="s">
        <v>1328</v>
      </c>
      <c r="D295" s="3088"/>
      <c r="E295" s="2830"/>
      <c r="F295" s="3009"/>
      <c r="G295" s="3053"/>
      <c r="H295" s="2126"/>
      <c r="I295" s="1277" t="s">
        <v>1327</v>
      </c>
      <c r="J295" s="1197"/>
      <c r="K295" s="2126"/>
      <c r="L295" s="840"/>
      <c r="M295" s="967"/>
      <c r="N295" s="960"/>
      <c r="O295" s="2250"/>
      <c r="P295" s="2250"/>
      <c r="AH295" s="2257">
        <v>0</v>
      </c>
    </row>
    <row s="34580" customFormat="1" customHeight="1" ht="0.75" hidden="1">
      <c r="A296" s="2406"/>
      <c r="B296" s="2406"/>
      <c r="C296" s="995" t="s">
        <v>1335</v>
      </c>
      <c r="D296" s="3088"/>
      <c r="E296" s="2830"/>
      <c r="F296" s="3009"/>
      <c r="G296" s="1026"/>
      <c r="H296" s="2126"/>
      <c r="I296" s="1277"/>
      <c r="J296" s="1197"/>
      <c r="K296" s="2126"/>
      <c r="L296" s="840"/>
      <c r="M296" s="967"/>
      <c r="N296" s="960"/>
      <c r="O296" s="2250"/>
      <c r="P296" s="2250"/>
      <c r="AH296" s="2257">
        <v>0</v>
      </c>
    </row>
    <row s="34580" customFormat="1" customHeight="1" ht="18.75" hidden="1">
      <c r="A297" s="2406" t="s">
        <v>243</v>
      </c>
      <c r="B297" s="2406" t="s">
        <v>244</v>
      </c>
      <c r="C297" s="995"/>
      <c r="D297" s="3088"/>
      <c r="E297" s="2830"/>
      <c r="F297" s="3009" t="str">
        <f>INDEX(PT_DIFFERENTIATION_VTAR,MATCH(A297,PT_DIFFERENTIATION_VTAR_ID,0))</f>
        <v>Тариф на питьевую воду (питьевое водоснабжение)</v>
      </c>
      <c r="G297" s="3053" t="str">
        <f>INDEX(PT_DIFFERENTIATION_NTAR,MATCH(B297,PT_DIFFERENTIATION_NTAR_ID,0))</f>
        <v/>
      </c>
      <c r="H297" s="2488"/>
      <c r="I297" s="2365"/>
      <c r="J297" s="2399"/>
      <c r="K297" s="2404"/>
      <c r="L297" s="2488" t="s">
        <v>324</v>
      </c>
      <c r="M297" s="967"/>
      <c r="N297" s="960"/>
      <c r="O297" s="2250"/>
      <c r="P297" s="2250"/>
      <c r="AH297" s="2257">
        <v>0</v>
      </c>
    </row>
    <row s="34580" customFormat="1" customHeight="1" ht="18.75" hidden="1">
      <c r="A298" s="2406"/>
      <c r="B298" s="2406"/>
      <c r="C298" s="995" t="s">
        <v>1328</v>
      </c>
      <c r="D298" s="3088"/>
      <c r="E298" s="2830"/>
      <c r="F298" s="3009"/>
      <c r="G298" s="3053"/>
      <c r="H298" s="2126"/>
      <c r="I298" s="1277" t="s">
        <v>1327</v>
      </c>
      <c r="J298" s="1197"/>
      <c r="K298" s="2126"/>
      <c r="L298" s="840"/>
      <c r="M298" s="967"/>
      <c r="N298" s="960"/>
      <c r="O298" s="2250"/>
      <c r="P298" s="2250"/>
      <c r="AH298" s="2257">
        <v>0</v>
      </c>
    </row>
    <row s="34580" customFormat="1" customHeight="1" ht="0.75" hidden="1">
      <c r="A299" s="2406"/>
      <c r="B299" s="2406"/>
      <c r="C299" s="995" t="s">
        <v>1335</v>
      </c>
      <c r="D299" s="3088"/>
      <c r="E299" s="2830"/>
      <c r="F299" s="3009"/>
      <c r="G299" s="1026"/>
      <c r="H299" s="2126"/>
      <c r="I299" s="1277"/>
      <c r="J299" s="1197"/>
      <c r="K299" s="2126"/>
      <c r="L299" s="840"/>
      <c r="M299" s="967"/>
      <c r="N299" s="960"/>
      <c r="O299" s="2250"/>
      <c r="P299" s="2250"/>
      <c r="AH299" s="2257">
        <v>0</v>
      </c>
    </row>
    <row s="34580" customFormat="1" customHeight="1" ht="18.75" hidden="1">
      <c r="A300" s="2406" t="s">
        <v>248</v>
      </c>
      <c r="B300" s="2406" t="s">
        <v>249</v>
      </c>
      <c r="C300" s="995"/>
      <c r="D300" s="3088"/>
      <c r="E300" s="2830"/>
      <c r="F300" s="3009" t="str">
        <f>INDEX(PT_DIFFERENTIATION_VTAR,MATCH(A300,PT_DIFFERENTIATION_VTAR_ID,0))</f>
        <v>Тариф на техническую воду</v>
      </c>
      <c r="G300" s="3053" t="str">
        <f>INDEX(PT_DIFFERENTIATION_NTAR,MATCH(B300,PT_DIFFERENTIATION_NTAR_ID,0))</f>
        <v/>
      </c>
      <c r="H300" s="2488"/>
      <c r="I300" s="2365"/>
      <c r="J300" s="2399"/>
      <c r="K300" s="2404"/>
      <c r="L300" s="2488" t="s">
        <v>324</v>
      </c>
      <c r="M300" s="967"/>
      <c r="N300" s="960"/>
      <c r="O300" s="2250"/>
      <c r="P300" s="2250"/>
      <c r="AH300" s="2257">
        <v>0</v>
      </c>
    </row>
    <row s="34580" customFormat="1" customHeight="1" ht="18.75" hidden="1">
      <c r="A301" s="2406"/>
      <c r="B301" s="2406"/>
      <c r="C301" s="995" t="s">
        <v>1328</v>
      </c>
      <c r="D301" s="3088"/>
      <c r="E301" s="2830"/>
      <c r="F301" s="3009"/>
      <c r="G301" s="3053"/>
      <c r="H301" s="2126"/>
      <c r="I301" s="1277" t="s">
        <v>1327</v>
      </c>
      <c r="J301" s="1197"/>
      <c r="K301" s="2126"/>
      <c r="L301" s="840"/>
      <c r="M301" s="967"/>
      <c r="N301" s="960"/>
      <c r="O301" s="2250"/>
      <c r="P301" s="2250"/>
      <c r="AH301" s="2257">
        <v>0</v>
      </c>
    </row>
    <row s="34580" customFormat="1" customHeight="1" ht="0.75" hidden="1">
      <c r="A302" s="2406"/>
      <c r="B302" s="2406"/>
      <c r="C302" s="995" t="s">
        <v>1335</v>
      </c>
      <c r="D302" s="3088"/>
      <c r="E302" s="2830"/>
      <c r="F302" s="3009"/>
      <c r="G302" s="1026"/>
      <c r="H302" s="2126"/>
      <c r="I302" s="1277"/>
      <c r="J302" s="1197"/>
      <c r="K302" s="2126"/>
      <c r="L302" s="840"/>
      <c r="M302" s="967"/>
      <c r="N302" s="960"/>
      <c r="O302" s="2250"/>
      <c r="P302" s="2250"/>
      <c r="AH302" s="2257">
        <v>0</v>
      </c>
    </row>
    <row s="34580" customFormat="1" customHeight="1" ht="18.75" hidden="1">
      <c r="A303" s="2406" t="s">
        <v>253</v>
      </c>
      <c r="B303" s="2406" t="s">
        <v>254</v>
      </c>
      <c r="C303" s="995"/>
      <c r="D303" s="3088"/>
      <c r="E303" s="2830"/>
      <c r="F303" s="3009" t="str">
        <f>INDEX(PT_DIFFERENTIATION_VTAR,MATCH(A303,PT_DIFFERENTIATION_VTAR_ID,0))</f>
        <v>Тариф на транспортировку воды</v>
      </c>
      <c r="G303" s="3053" t="str">
        <f>INDEX(PT_DIFFERENTIATION_NTAR,MATCH(B303,PT_DIFFERENTIATION_NTAR_ID,0))</f>
        <v/>
      </c>
      <c r="H303" s="2488"/>
      <c r="I303" s="2365"/>
      <c r="J303" s="2399"/>
      <c r="K303" s="2404"/>
      <c r="L303" s="2488" t="s">
        <v>324</v>
      </c>
      <c r="M303" s="967"/>
      <c r="N303" s="960"/>
      <c r="O303" s="2250"/>
      <c r="P303" s="2250"/>
      <c r="AH303" s="2257">
        <v>0</v>
      </c>
    </row>
    <row s="34580" customFormat="1" customHeight="1" ht="18.75" hidden="1">
      <c r="A304" s="2406"/>
      <c r="B304" s="2406"/>
      <c r="C304" s="995" t="s">
        <v>1328</v>
      </c>
      <c r="D304" s="3088"/>
      <c r="E304" s="2830"/>
      <c r="F304" s="3009"/>
      <c r="G304" s="3053"/>
      <c r="H304" s="2126"/>
      <c r="I304" s="1277" t="s">
        <v>1327</v>
      </c>
      <c r="J304" s="1197"/>
      <c r="K304" s="2126"/>
      <c r="L304" s="840"/>
      <c r="M304" s="967"/>
      <c r="N304" s="960"/>
      <c r="O304" s="2250"/>
      <c r="P304" s="2250"/>
      <c r="AH304" s="2257">
        <v>0</v>
      </c>
    </row>
    <row s="34580" customFormat="1" customHeight="1" ht="0.75" hidden="1">
      <c r="A305" s="2406"/>
      <c r="B305" s="2406"/>
      <c r="C305" s="995" t="s">
        <v>1335</v>
      </c>
      <c r="D305" s="3088"/>
      <c r="E305" s="2830"/>
      <c r="F305" s="3009"/>
      <c r="G305" s="1026"/>
      <c r="H305" s="2126"/>
      <c r="I305" s="1277"/>
      <c r="J305" s="1197"/>
      <c r="K305" s="2126"/>
      <c r="L305" s="840"/>
      <c r="M305" s="967"/>
      <c r="N305" s="960"/>
      <c r="O305" s="2250"/>
      <c r="P305" s="2250"/>
      <c r="AH305" s="2257">
        <v>0</v>
      </c>
    </row>
    <row s="34580" customFormat="1" customHeight="1" ht="18.75" hidden="1">
      <c r="A306" s="2406" t="s">
        <v>258</v>
      </c>
      <c r="B306" s="2406" t="s">
        <v>259</v>
      </c>
      <c r="C306" s="995"/>
      <c r="D306" s="3088"/>
      <c r="E306" s="2830"/>
      <c r="F306" s="3009" t="str">
        <f>INDEX(PT_DIFFERENTIATION_VTAR,MATCH(A306,PT_DIFFERENTIATION_VTAR_ID,0))</f>
        <v>Тариф на подвоз воды</v>
      </c>
      <c r="G306" s="3053" t="str">
        <f>INDEX(PT_DIFFERENTIATION_NTAR,MATCH(B306,PT_DIFFERENTIATION_NTAR_ID,0))</f>
        <v/>
      </c>
      <c r="H306" s="2488"/>
      <c r="I306" s="2365"/>
      <c r="J306" s="2399"/>
      <c r="K306" s="2404"/>
      <c r="L306" s="2488" t="s">
        <v>324</v>
      </c>
      <c r="M306" s="967"/>
      <c r="N306" s="960"/>
      <c r="O306" s="2250"/>
      <c r="P306" s="2250"/>
      <c r="AH306" s="2257">
        <v>0</v>
      </c>
    </row>
    <row s="34580" customFormat="1" customHeight="1" ht="18.75" hidden="1">
      <c r="A307" s="2406"/>
      <c r="B307" s="2406"/>
      <c r="C307" s="995" t="s">
        <v>1328</v>
      </c>
      <c r="D307" s="3088"/>
      <c r="E307" s="2830"/>
      <c r="F307" s="3009"/>
      <c r="G307" s="3053"/>
      <c r="H307" s="2126"/>
      <c r="I307" s="1277" t="s">
        <v>1327</v>
      </c>
      <c r="J307" s="1197"/>
      <c r="K307" s="2126"/>
      <c r="L307" s="840"/>
      <c r="M307" s="967"/>
      <c r="N307" s="960"/>
      <c r="O307" s="2250"/>
      <c r="P307" s="2250"/>
      <c r="AH307" s="2257">
        <v>0</v>
      </c>
    </row>
    <row s="34580" customFormat="1" customHeight="1" ht="0.75" hidden="1">
      <c r="A308" s="2406"/>
      <c r="B308" s="2406"/>
      <c r="C308" s="995" t="s">
        <v>1335</v>
      </c>
      <c r="D308" s="3088"/>
      <c r="E308" s="2830"/>
      <c r="F308" s="3009"/>
      <c r="G308" s="1026"/>
      <c r="H308" s="2126"/>
      <c r="I308" s="1277"/>
      <c r="J308" s="1197"/>
      <c r="K308" s="2126"/>
      <c r="L308" s="840"/>
      <c r="M308" s="967"/>
      <c r="N308" s="960"/>
      <c r="O308" s="2250"/>
      <c r="P308" s="2250"/>
      <c r="AH308" s="2257">
        <v>0</v>
      </c>
    </row>
    <row s="34580" customFormat="1" customHeight="1" ht="18.75" hidden="1">
      <c r="A309" s="2406" t="s">
        <v>263</v>
      </c>
      <c r="B309" s="2406" t="s">
        <v>264</v>
      </c>
      <c r="C309" s="995"/>
      <c r="D309" s="3088"/>
      <c r="E309" s="2830"/>
      <c r="F309" s="300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053" t="str">
        <f>INDEX(PT_DIFFERENTIATION_NTAR,MATCH(B309,PT_DIFFERENTIATION_NTAR_ID,0))</f>
        <v/>
      </c>
      <c r="H309" s="2488"/>
      <c r="I309" s="2365"/>
      <c r="J309" s="2399"/>
      <c r="K309" s="2404"/>
      <c r="L309" s="2488" t="s">
        <v>324</v>
      </c>
      <c r="M309" s="967"/>
      <c r="N309" s="960"/>
      <c r="O309" s="2250"/>
      <c r="P309" s="2250"/>
      <c r="AH309" s="2257">
        <v>0</v>
      </c>
    </row>
    <row s="34580" customFormat="1" customHeight="1" ht="18.75" hidden="1">
      <c r="A310" s="2406"/>
      <c r="B310" s="2406"/>
      <c r="C310" s="995" t="s">
        <v>1328</v>
      </c>
      <c r="D310" s="3088"/>
      <c r="E310" s="2830"/>
      <c r="F310" s="3009"/>
      <c r="G310" s="3053"/>
      <c r="H310" s="2126"/>
      <c r="I310" s="1277" t="s">
        <v>1327</v>
      </c>
      <c r="J310" s="1197"/>
      <c r="K310" s="2126"/>
      <c r="L310" s="840"/>
      <c r="M310" s="967"/>
      <c r="N310" s="960"/>
      <c r="O310" s="2250"/>
      <c r="P310" s="2250"/>
      <c r="AH310" s="2257">
        <v>0</v>
      </c>
    </row>
    <row s="34580" customFormat="1" customHeight="1" ht="0.75" hidden="1">
      <c r="A311" s="2406"/>
      <c r="B311" s="2406"/>
      <c r="C311" s="995" t="s">
        <v>1335</v>
      </c>
      <c r="D311" s="3088"/>
      <c r="E311" s="2830"/>
      <c r="F311" s="3009"/>
      <c r="G311" s="1026"/>
      <c r="H311" s="2126"/>
      <c r="I311" s="1277"/>
      <c r="J311" s="1197"/>
      <c r="K311" s="2126"/>
      <c r="L311" s="840"/>
      <c r="M311" s="967"/>
      <c r="N311" s="960"/>
      <c r="O311" s="2250"/>
      <c r="P311" s="2250"/>
      <c r="AH311" s="2257">
        <v>0</v>
      </c>
    </row>
    <row s="34580" customFormat="1" customHeight="1" ht="18.75" hidden="1">
      <c r="A312" s="2406" t="s">
        <v>268</v>
      </c>
      <c r="B312" s="2406" t="s">
        <v>269</v>
      </c>
      <c r="C312" s="995"/>
      <c r="D312" s="3088"/>
      <c r="E312" s="2830"/>
      <c r="F312" s="3009" t="str">
        <f>INDEX(PT_DIFFERENTIATION_VTAR,MATCH(A312,PT_DIFFERENTIATION_VTAR_ID,0))</f>
        <v>Тариф на горячую воду (горячее водоснабжение)</v>
      </c>
      <c r="G312" s="3053" t="str">
        <f>INDEX(PT_DIFFERENTIATION_NTAR,MATCH(B312,PT_DIFFERENTIATION_NTAR_ID,0))</f>
        <v/>
      </c>
      <c r="H312" s="2488"/>
      <c r="I312" s="2365"/>
      <c r="J312" s="2399"/>
      <c r="K312" s="2404"/>
      <c r="L312" s="2488" t="s">
        <v>324</v>
      </c>
      <c r="M312" s="967"/>
      <c r="N312" s="960"/>
      <c r="O312" s="2250"/>
      <c r="P312" s="2250"/>
      <c r="AH312" s="2257">
        <v>0</v>
      </c>
    </row>
    <row s="34580" customFormat="1" customHeight="1" ht="18.75" hidden="1">
      <c r="A313" s="2406"/>
      <c r="B313" s="2406"/>
      <c r="C313" s="995" t="s">
        <v>1328</v>
      </c>
      <c r="D313" s="3088"/>
      <c r="E313" s="2830"/>
      <c r="F313" s="3009"/>
      <c r="G313" s="3053"/>
      <c r="H313" s="2126"/>
      <c r="I313" s="1277" t="s">
        <v>1327</v>
      </c>
      <c r="J313" s="1197"/>
      <c r="K313" s="2126"/>
      <c r="L313" s="840"/>
      <c r="M313" s="967"/>
      <c r="N313" s="960"/>
      <c r="O313" s="2250"/>
      <c r="P313" s="2250"/>
      <c r="AH313" s="2257">
        <v>0</v>
      </c>
    </row>
    <row s="34580" customFormat="1" customHeight="1" ht="0.75" hidden="1">
      <c r="A314" s="2406"/>
      <c r="B314" s="2406"/>
      <c r="C314" s="995" t="s">
        <v>1335</v>
      </c>
      <c r="D314" s="3088"/>
      <c r="E314" s="2830"/>
      <c r="F314" s="3009"/>
      <c r="G314" s="1026"/>
      <c r="H314" s="2126"/>
      <c r="I314" s="1277"/>
      <c r="J314" s="1197"/>
      <c r="K314" s="2126"/>
      <c r="L314" s="840"/>
      <c r="M314" s="967"/>
      <c r="N314" s="960"/>
      <c r="O314" s="2250"/>
      <c r="P314" s="2250"/>
      <c r="AH314" s="2257">
        <v>0</v>
      </c>
    </row>
    <row s="34580" customFormat="1" customHeight="1" ht="18.75" hidden="1">
      <c r="A315" s="2406" t="s">
        <v>273</v>
      </c>
      <c r="B315" s="2406" t="s">
        <v>274</v>
      </c>
      <c r="C315" s="995"/>
      <c r="D315" s="3088"/>
      <c r="E315" s="2830"/>
      <c r="F315" s="3009" t="str">
        <f>INDEX(PT_DIFFERENTIATION_VTAR,MATCH(A315,PT_DIFFERENTIATION_VTAR_ID,0))</f>
        <v>Тариф на транспортировку горячей воды</v>
      </c>
      <c r="G315" s="3053" t="str">
        <f>INDEX(PT_DIFFERENTIATION_NTAR,MATCH(B315,PT_DIFFERENTIATION_NTAR_ID,0))</f>
        <v/>
      </c>
      <c r="H315" s="2488"/>
      <c r="I315" s="2365"/>
      <c r="J315" s="2399"/>
      <c r="K315" s="2404"/>
      <c r="L315" s="2488" t="s">
        <v>324</v>
      </c>
      <c r="M315" s="967"/>
      <c r="N315" s="960"/>
      <c r="O315" s="2250"/>
      <c r="P315" s="2250"/>
      <c r="AH315" s="2257">
        <v>0</v>
      </c>
    </row>
    <row s="34580" customFormat="1" customHeight="1" ht="18.75" hidden="1">
      <c r="A316" s="2406"/>
      <c r="B316" s="2406"/>
      <c r="C316" s="995" t="s">
        <v>1328</v>
      </c>
      <c r="D316" s="3088"/>
      <c r="E316" s="2830"/>
      <c r="F316" s="3009"/>
      <c r="G316" s="3053"/>
      <c r="H316" s="2126"/>
      <c r="I316" s="1277" t="s">
        <v>1327</v>
      </c>
      <c r="J316" s="1197"/>
      <c r="K316" s="2126"/>
      <c r="L316" s="840"/>
      <c r="M316" s="967"/>
      <c r="N316" s="960"/>
      <c r="O316" s="2250"/>
      <c r="P316" s="2250"/>
      <c r="AH316" s="2257">
        <v>0</v>
      </c>
    </row>
    <row s="34580" customFormat="1" customHeight="1" ht="0.75" hidden="1">
      <c r="A317" s="2406"/>
      <c r="B317" s="2406"/>
      <c r="C317" s="995" t="s">
        <v>1335</v>
      </c>
      <c r="D317" s="3088"/>
      <c r="E317" s="2830"/>
      <c r="F317" s="3009"/>
      <c r="G317" s="1026"/>
      <c r="H317" s="2126"/>
      <c r="I317" s="1277"/>
      <c r="J317" s="1197"/>
      <c r="K317" s="2126"/>
      <c r="L317" s="840"/>
      <c r="M317" s="967"/>
      <c r="N317" s="960"/>
      <c r="O317" s="2250"/>
      <c r="P317" s="2250"/>
      <c r="AH317" s="2257">
        <v>0</v>
      </c>
    </row>
    <row s="34580" customFormat="1" customHeight="1" ht="18.75" hidden="1">
      <c r="A318" s="2406" t="s">
        <v>278</v>
      </c>
      <c r="B318" s="2406" t="s">
        <v>279</v>
      </c>
      <c r="C318" s="995"/>
      <c r="D318" s="3088"/>
      <c r="E318" s="2830"/>
      <c r="F318" s="3009" t="str">
        <f>INDEX(PT_DIFFERENTIATION_VTAR,MATCH(A318,PT_DIFFERENTIATION_VTAR_ID,0))</f>
        <v>Тариф на подключение (технологическое присоединение) к централизованной системе горячего водоснабжения</v>
      </c>
      <c r="G318" s="3053" t="str">
        <f>INDEX(PT_DIFFERENTIATION_NTAR,MATCH(B318,PT_DIFFERENTIATION_NTAR_ID,0))</f>
        <v/>
      </c>
      <c r="H318" s="2488"/>
      <c r="I318" s="2365"/>
      <c r="J318" s="2399"/>
      <c r="K318" s="2404"/>
      <c r="L318" s="2488" t="s">
        <v>324</v>
      </c>
      <c r="M318" s="967"/>
      <c r="N318" s="960"/>
      <c r="O318" s="2250"/>
      <c r="P318" s="2250"/>
      <c r="AH318" s="2257">
        <v>0</v>
      </c>
    </row>
    <row s="34580" customFormat="1" customHeight="1" ht="18.75" hidden="1">
      <c r="A319" s="2406"/>
      <c r="B319" s="2406"/>
      <c r="C319" s="995" t="s">
        <v>1328</v>
      </c>
      <c r="D319" s="3088"/>
      <c r="E319" s="2830"/>
      <c r="F319" s="3009"/>
      <c r="G319" s="3053"/>
      <c r="H319" s="2126"/>
      <c r="I319" s="1277" t="s">
        <v>1327</v>
      </c>
      <c r="J319" s="1197"/>
      <c r="K319" s="2126"/>
      <c r="L319" s="840"/>
      <c r="M319" s="967"/>
      <c r="N319" s="960"/>
      <c r="O319" s="2250"/>
      <c r="P319" s="2250"/>
      <c r="AH319" s="2257">
        <v>0</v>
      </c>
    </row>
    <row s="34580" customFormat="1" customHeight="1" ht="0.75" hidden="1">
      <c r="A320" s="2406"/>
      <c r="B320" s="2406"/>
      <c r="C320" s="995" t="s">
        <v>1335</v>
      </c>
      <c r="D320" s="3088"/>
      <c r="E320" s="2830"/>
      <c r="F320" s="3009"/>
      <c r="G320" s="1026"/>
      <c r="H320" s="2126"/>
      <c r="I320" s="1277"/>
      <c r="J320" s="1197"/>
      <c r="K320" s="2126"/>
      <c r="L320" s="840"/>
      <c r="M320" s="967"/>
      <c r="N320" s="960"/>
      <c r="O320" s="2250"/>
      <c r="P320" s="2250"/>
      <c r="AH320" s="2257">
        <v>0</v>
      </c>
    </row>
    <row s="34580" customFormat="1" customHeight="1" ht="18.75" hidden="1">
      <c r="A321" s="2406" t="s">
        <v>283</v>
      </c>
      <c r="B321" s="2406" t="s">
        <v>284</v>
      </c>
      <c r="C321" s="995"/>
      <c r="D321" s="3088"/>
      <c r="E321" s="2830"/>
      <c r="F321" s="3009" t="str">
        <f>INDEX(PT_DIFFERENTIATION_VTAR,MATCH(A321,PT_DIFFERENTIATION_VTAR_ID,0))</f>
        <v>Тариф на водоотведение</v>
      </c>
      <c r="G321" s="3053" t="str">
        <f>INDEX(PT_DIFFERENTIATION_NTAR,MATCH(B321,PT_DIFFERENTIATION_NTAR_ID,0))</f>
        <v/>
      </c>
      <c r="H321" s="2488"/>
      <c r="I321" s="2365"/>
      <c r="J321" s="2399"/>
      <c r="K321" s="2404"/>
      <c r="L321" s="2488" t="s">
        <v>324</v>
      </c>
      <c r="M321" s="967"/>
      <c r="N321" s="960"/>
      <c r="O321" s="2250"/>
      <c r="P321" s="2250"/>
      <c r="AH321" s="2257">
        <v>0</v>
      </c>
    </row>
    <row s="34580" customFormat="1" customHeight="1" ht="18.75" hidden="1">
      <c r="A322" s="2406"/>
      <c r="B322" s="2406"/>
      <c r="C322" s="995" t="s">
        <v>1328</v>
      </c>
      <c r="D322" s="3088"/>
      <c r="E322" s="2830"/>
      <c r="F322" s="3009"/>
      <c r="G322" s="3053"/>
      <c r="H322" s="2126"/>
      <c r="I322" s="1277" t="s">
        <v>1327</v>
      </c>
      <c r="J322" s="1197"/>
      <c r="K322" s="2126"/>
      <c r="L322" s="840"/>
      <c r="M322" s="967"/>
      <c r="N322" s="960"/>
      <c r="O322" s="2250"/>
      <c r="P322" s="2250"/>
      <c r="AH322" s="2257">
        <v>0</v>
      </c>
    </row>
    <row s="34580" customFormat="1" customHeight="1" ht="0.75" hidden="1">
      <c r="A323" s="2406"/>
      <c r="B323" s="2406"/>
      <c r="C323" s="995" t="s">
        <v>1335</v>
      </c>
      <c r="D323" s="3088"/>
      <c r="E323" s="2830"/>
      <c r="F323" s="3009"/>
      <c r="G323" s="1026"/>
      <c r="H323" s="2126"/>
      <c r="I323" s="1277"/>
      <c r="J323" s="1197"/>
      <c r="K323" s="2126"/>
      <c r="L323" s="840"/>
      <c r="M323" s="967"/>
      <c r="N323" s="960"/>
      <c r="O323" s="2250"/>
      <c r="P323" s="2250"/>
      <c r="AH323" s="2257">
        <v>0</v>
      </c>
    </row>
    <row s="34580" customFormat="1" customHeight="1" ht="18.75" hidden="1">
      <c r="A324" s="2406" t="s">
        <v>288</v>
      </c>
      <c r="B324" s="2406" t="s">
        <v>289</v>
      </c>
      <c r="C324" s="995"/>
      <c r="D324" s="3088"/>
      <c r="E324" s="2830"/>
      <c r="F324" s="3009" t="str">
        <f>INDEX(PT_DIFFERENTIATION_VTAR,MATCH(A324,PT_DIFFERENTIATION_VTAR_ID,0))</f>
        <v>Тариф на транспортировку сточных вод</v>
      </c>
      <c r="G324" s="3053" t="str">
        <f>INDEX(PT_DIFFERENTIATION_NTAR,MATCH(B324,PT_DIFFERENTIATION_NTAR_ID,0))</f>
        <v/>
      </c>
      <c r="H324" s="2488"/>
      <c r="I324" s="2365"/>
      <c r="J324" s="2399"/>
      <c r="K324" s="2404"/>
      <c r="L324" s="2488" t="s">
        <v>324</v>
      </c>
      <c r="M324" s="967"/>
      <c r="N324" s="960"/>
      <c r="O324" s="2250"/>
      <c r="P324" s="2250"/>
      <c r="AH324" s="2257">
        <v>0</v>
      </c>
    </row>
    <row s="34580" customFormat="1" customHeight="1" ht="18.75" hidden="1">
      <c r="A325" s="2406"/>
      <c r="B325" s="2406"/>
      <c r="C325" s="995" t="s">
        <v>1328</v>
      </c>
      <c r="D325" s="3088"/>
      <c r="E325" s="2830"/>
      <c r="F325" s="3009"/>
      <c r="G325" s="3053"/>
      <c r="H325" s="2126"/>
      <c r="I325" s="1277" t="s">
        <v>1327</v>
      </c>
      <c r="J325" s="1197"/>
      <c r="K325" s="2126"/>
      <c r="L325" s="840"/>
      <c r="M325" s="967"/>
      <c r="N325" s="960"/>
      <c r="O325" s="2250"/>
      <c r="P325" s="2250"/>
      <c r="AH325" s="2257">
        <v>0</v>
      </c>
    </row>
    <row s="34580" customFormat="1" customHeight="1" ht="0.75" hidden="1">
      <c r="A326" s="2406"/>
      <c r="B326" s="2406"/>
      <c r="C326" s="995" t="s">
        <v>1335</v>
      </c>
      <c r="D326" s="3088"/>
      <c r="E326" s="2830"/>
      <c r="F326" s="3009"/>
      <c r="G326" s="1026"/>
      <c r="H326" s="2126"/>
      <c r="I326" s="1277"/>
      <c r="J326" s="1197"/>
      <c r="K326" s="2126"/>
      <c r="L326" s="840"/>
      <c r="M326" s="967"/>
      <c r="N326" s="960"/>
      <c r="O326" s="2250"/>
      <c r="P326" s="2250"/>
      <c r="AH326" s="2257">
        <v>0</v>
      </c>
    </row>
    <row s="34580" customFormat="1" customHeight="1" ht="18.75" hidden="1">
      <c r="A327" s="2406" t="s">
        <v>293</v>
      </c>
      <c r="B327" s="2406" t="s">
        <v>294</v>
      </c>
      <c r="C327" s="995"/>
      <c r="D327" s="3088"/>
      <c r="E327" s="2830"/>
      <c r="F327" s="3009" t="str">
        <f>INDEX(PT_DIFFERENTIATION_VTAR,MATCH(A327,PT_DIFFERENTIATION_VTAR_ID,0))</f>
        <v>Тариф на подключение (технологическое присоединение) к централизованной системе водоотведения</v>
      </c>
      <c r="G327" s="3053" t="str">
        <f>INDEX(PT_DIFFERENTIATION_NTAR,MATCH(B327,PT_DIFFERENTIATION_NTAR_ID,0))</f>
        <v/>
      </c>
      <c r="H327" s="2488"/>
      <c r="I327" s="2365"/>
      <c r="J327" s="2399"/>
      <c r="K327" s="2404"/>
      <c r="L327" s="2488" t="s">
        <v>324</v>
      </c>
      <c r="M327" s="967"/>
      <c r="N327" s="960"/>
      <c r="O327" s="2250"/>
      <c r="P327" s="2250"/>
      <c r="AH327" s="2257">
        <v>0</v>
      </c>
    </row>
    <row s="34580" customFormat="1" customHeight="1" ht="18.75" hidden="1">
      <c r="A328" s="2406"/>
      <c r="B328" s="2406"/>
      <c r="C328" s="995" t="s">
        <v>1328</v>
      </c>
      <c r="D328" s="3088"/>
      <c r="E328" s="2830"/>
      <c r="F328" s="3009"/>
      <c r="G328" s="3053"/>
      <c r="H328" s="2126"/>
      <c r="I328" s="1277" t="s">
        <v>1327</v>
      </c>
      <c r="J328" s="1197"/>
      <c r="K328" s="2126"/>
      <c r="L328" s="840"/>
      <c r="M328" s="967"/>
      <c r="N328" s="960"/>
      <c r="O328" s="2250"/>
      <c r="P328" s="2250"/>
      <c r="AH328" s="2257">
        <v>0</v>
      </c>
    </row>
    <row s="34580" customFormat="1" customHeight="1" ht="1.05">
      <c r="A329" s="2406"/>
      <c r="B329" s="2406"/>
      <c r="C329" s="995" t="s">
        <v>1335</v>
      </c>
      <c r="D329" s="3088"/>
      <c r="E329" s="2830"/>
      <c r="F329" s="3009"/>
      <c r="G329" s="1026"/>
      <c r="H329" s="2126"/>
      <c r="I329" s="1277"/>
      <c r="J329" s="1197"/>
      <c r="K329" s="2126"/>
      <c r="L329" s="840"/>
      <c r="M329" s="967"/>
      <c r="N329" s="960"/>
      <c r="O329" s="2250"/>
      <c r="P329" s="2250"/>
      <c r="AH329" s="2257">
        <v>1</v>
      </c>
    </row>
    <row s="37077" customFormat="1" customHeight="1" ht="3">
      <c r="A330" s="2406"/>
      <c r="B330" s="2406"/>
      <c r="C330" s="2407"/>
      <c r="E330" s="1028"/>
      <c r="F330" s="1028"/>
      <c r="G330" s="1028"/>
      <c r="H330" s="1028"/>
      <c r="I330" s="1028"/>
      <c r="J330" s="1028"/>
      <c r="K330" s="1028"/>
      <c r="L330" s="1028"/>
      <c r="M330" s="1028"/>
      <c r="O330" s="822"/>
      <c r="P330" s="822"/>
      <c r="AH330" s="766">
        <v>3</v>
      </c>
    </row>
    <row customHeight="1" ht="26.25">
      <c r="E331" s="828"/>
      <c r="F331" s="2911"/>
      <c r="G331" s="2911"/>
      <c r="H331" s="2911"/>
      <c r="I331" s="2911"/>
      <c r="J331" s="2911"/>
      <c r="K331" s="2911"/>
      <c r="L331" s="2911"/>
      <c r="M331" s="2911"/>
      <c r="AH331" s="1000">
        <v>25</v>
      </c>
    </row>
    <row customHeight="1" ht="14.25" hidden="1">
      <c r="A332" s="2405" t="s">
        <v>82</v>
      </c>
      <c r="B332" s="2405">
        <v>0</v>
      </c>
      <c r="C332" s="995">
        <v>0</v>
      </c>
      <c r="D332" s="970">
        <v>3</v>
      </c>
      <c r="E332" s="1000">
        <v>6</v>
      </c>
      <c r="F332" s="1000">
        <v>46</v>
      </c>
      <c r="G332" s="1000">
        <v>35</v>
      </c>
      <c r="H332" s="1000">
        <v>3</v>
      </c>
      <c r="I332" s="1000">
        <v>11</v>
      </c>
      <c r="J332" s="1000">
        <v>11</v>
      </c>
      <c r="K332" s="1000">
        <v>35</v>
      </c>
      <c r="L332" s="1000">
        <v>35</v>
      </c>
      <c r="M332" s="1000">
        <v>84</v>
      </c>
      <c r="N332" s="1000">
        <v>10</v>
      </c>
      <c r="O332" s="976">
        <v>10</v>
      </c>
      <c r="P332" s="976">
        <v>10</v>
      </c>
      <c r="Q332" s="1000">
        <v>10</v>
      </c>
      <c r="R332" s="1000">
        <v>10</v>
      </c>
      <c r="S332" s="1000">
        <v>10</v>
      </c>
      <c r="T332" s="1000">
        <v>10</v>
      </c>
      <c r="U332" s="1000">
        <v>10</v>
      </c>
      <c r="V332" s="1000">
        <v>10</v>
      </c>
      <c r="W332" s="1000">
        <v>10</v>
      </c>
      <c r="X332" s="1000">
        <v>10</v>
      </c>
      <c r="Y332" s="1000">
        <v>10</v>
      </c>
      <c r="Z332" s="1000">
        <v>10</v>
      </c>
      <c r="AA332" s="1000">
        <v>10</v>
      </c>
      <c r="AB332" s="1000">
        <v>10</v>
      </c>
      <c r="AC332" s="1000">
        <v>10</v>
      </c>
      <c r="AD332" s="1000">
        <v>10</v>
      </c>
      <c r="AE332" s="1000">
        <v>10</v>
      </c>
      <c r="AF332" s="1000">
        <v>10</v>
      </c>
      <c r="AG332" s="1000">
        <v>10</v>
      </c>
      <c r="AH332" s="1000">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7FA777-7962-919D-CCD6-7D0BEB2B2F86}"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35441" width="9.140625" hidden="1" customWidth="1"/>
    <col min="2" max="2" style="34657" width="9.140625" hidden="1" customWidth="1"/>
    <col min="3" max="3" style="35442" width="3.00390625" customWidth="1"/>
    <col min="4" max="4" style="34580" width="6.00390625" customWidth="1"/>
    <col min="5" max="5" style="34580" width="53.00390625" customWidth="1"/>
    <col min="6" max="7" style="34580" width="35.00390625" customWidth="1"/>
    <col min="8" max="8" style="34580" width="89.00390625" customWidth="1"/>
    <col min="9" max="9" style="34580" width="10.00390625" customWidth="1"/>
    <col min="10" max="11" style="34757" width="10.00390625" customWidth="1"/>
    <col min="12" max="17" style="34580" width="10.00390625" customWidth="1"/>
    <col min="18" max="18" style="34580" width="10.57421875" hidden="1"/>
  </cols>
  <sheetData>
    <row customHeight="1" ht="22.5" hidden="1">
      <c r="N1" s="881"/>
      <c r="O1" s="881"/>
      <c r="Q1" s="881"/>
      <c r="R1" s="1000" t="s">
        <v>14</v>
      </c>
    </row>
    <row s="34580" customFormat="1" customHeight="1" ht="18.75" hidden="1">
      <c r="A2" s="728"/>
      <c r="B2" s="1786"/>
      <c r="C2" s="2356" t="s">
        <v>103</v>
      </c>
      <c r="D2" s="2299"/>
      <c r="E2" s="2308"/>
      <c r="F2" s="883"/>
      <c r="G2" s="1787"/>
      <c r="H2" s="1000"/>
      <c r="I2" s="2250"/>
      <c r="J2" s="2250"/>
      <c r="R2" s="2257">
        <v>0</v>
      </c>
    </row>
    <row customHeight="1" ht="14.25" hidden="1">
      <c r="R3" s="1000">
        <v>0</v>
      </c>
    </row>
    <row customHeight="1" ht="6.3">
      <c r="C4" s="1002"/>
      <c r="D4" s="989"/>
      <c r="E4" s="989"/>
      <c r="F4" s="989"/>
      <c r="G4" s="711"/>
      <c r="H4" s="711"/>
      <c r="R4" s="1000">
        <v>6</v>
      </c>
    </row>
    <row customHeight="1" ht="34.5">
      <c r="C5" s="1002"/>
      <c r="D5" s="308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081"/>
      <c r="F5" s="3081"/>
      <c r="G5" s="3082"/>
      <c r="H5" s="892"/>
      <c r="R5" s="1000">
        <v>33</v>
      </c>
    </row>
    <row s="34580" customFormat="1" customHeight="1" ht="18">
      <c r="A6" s="2295"/>
      <c r="B6" s="1786"/>
      <c r="C6" s="1002"/>
      <c r="D6" s="3083" t="str">
        <f>IF(org=0,"Не определено",org)</f>
        <v>АО "ДГК"</v>
      </c>
      <c r="E6" s="3084"/>
      <c r="F6" s="3084"/>
      <c r="G6" s="3085"/>
      <c r="H6" s="892"/>
      <c r="J6" s="2250"/>
      <c r="K6" s="2250"/>
      <c r="R6" s="2257">
        <v>17</v>
      </c>
    </row>
    <row customHeight="1" ht="14.699999999999998">
      <c r="C7" s="1002"/>
      <c r="D7" s="989"/>
      <c r="E7" s="1015"/>
      <c r="F7" s="1015"/>
      <c r="G7" s="1378"/>
      <c r="H7" s="819"/>
      <c r="R7" s="1000">
        <v>14</v>
      </c>
    </row>
    <row customHeight="1" ht="14.699999999999998">
      <c r="C8" s="1002"/>
      <c r="D8" s="2835" t="s">
        <v>318</v>
      </c>
      <c r="E8" s="2835"/>
      <c r="F8" s="2835"/>
      <c r="G8" s="2835"/>
      <c r="H8" s="3015" t="s">
        <v>319</v>
      </c>
      <c r="R8" s="1000">
        <v>14</v>
      </c>
    </row>
    <row customHeight="1" ht="24">
      <c r="C9" s="1002"/>
      <c r="D9" s="1012" t="s">
        <v>88</v>
      </c>
      <c r="E9" s="734" t="s">
        <v>320</v>
      </c>
      <c r="F9" s="734" t="s">
        <v>321</v>
      </c>
      <c r="G9" s="734" t="s">
        <v>408</v>
      </c>
      <c r="H9" s="3015"/>
      <c r="R9" s="1000">
        <v>23</v>
      </c>
    </row>
    <row customHeight="1" ht="14.699999999999998">
      <c r="A10" s="969"/>
      <c r="C10" s="1002"/>
      <c r="D10" s="773" t="s">
        <v>118</v>
      </c>
      <c r="E10" s="25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883"/>
      <c r="G10" s="839"/>
      <c r="H10" s="2795" t="s">
        <v>1336</v>
      </c>
      <c r="R10" s="1000">
        <v>14</v>
      </c>
    </row>
    <row customHeight="1" ht="14.699999999999998">
      <c r="A11" s="969"/>
      <c r="C11" s="1002"/>
      <c r="D11" s="773" t="s">
        <v>102</v>
      </c>
      <c r="E11" s="25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883"/>
      <c r="G11" s="839"/>
      <c r="H11" s="2796"/>
      <c r="R11" s="1000">
        <v>14</v>
      </c>
    </row>
    <row customHeight="1" ht="14.699999999999998">
      <c r="A12" s="728"/>
      <c r="C12" s="1013"/>
      <c r="D12" s="773" t="s">
        <v>90</v>
      </c>
      <c r="E12" s="1014" t="str">
        <f>"Сведения о планировании закупочных процедур"&amp;IF(TEMPLATE_SPHERE="TKO"," &lt;1&gt;","")</f>
        <v>Сведения о планировании закупочных процедур</v>
      </c>
      <c r="F12" s="883"/>
      <c r="G12" s="839"/>
      <c r="H12" s="279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976"/>
      <c r="K12" s="1000"/>
      <c r="R12" s="1000">
        <v>14</v>
      </c>
    </row>
    <row customHeight="1" ht="14.699999999999998">
      <c r="A13" s="728"/>
      <c r="C13" s="1013"/>
      <c r="D13" s="773" t="s">
        <v>91</v>
      </c>
      <c r="E13" s="1014" t="str">
        <f>"Сведения о результатах проведения закупочных процедур"&amp;IF(TEMPLATE_SPHERE="TKO"," &lt;1&gt;","")</f>
        <v>Сведения о результатах проведения закупочных процедур</v>
      </c>
      <c r="F13" s="883"/>
      <c r="G13" s="839"/>
      <c r="H13" s="2796"/>
      <c r="I13" s="976"/>
      <c r="K13" s="1000"/>
      <c r="R13" s="1000">
        <v>14</v>
      </c>
    </row>
    <row customHeight="1" ht="14.699999999999998">
      <c r="A14" s="969"/>
      <c r="C14" s="1002"/>
      <c r="D14" s="973"/>
      <c r="E14" s="1021" t="s">
        <v>340</v>
      </c>
      <c r="F14" s="975"/>
      <c r="G14" s="827"/>
      <c r="H14" s="2797"/>
      <c r="R14" s="1000">
        <v>14</v>
      </c>
    </row>
    <row s="34580" customFormat="1" customHeight="1" ht="14.699999999999998">
      <c r="A15" s="969"/>
      <c r="B15" s="1786"/>
      <c r="C15" s="1002"/>
      <c r="D15" s="1022"/>
      <c r="E15" s="2303"/>
      <c r="F15" s="2304"/>
      <c r="G15" s="2305"/>
      <c r="H15" s="2306"/>
      <c r="J15" s="2250"/>
      <c r="K15" s="2250"/>
      <c r="R15" s="2257">
        <v>14</v>
      </c>
    </row>
    <row customHeight="1" ht="14.699999999999998">
      <c r="D16" s="2307"/>
      <c r="E16" s="3011"/>
      <c r="F16" s="3011"/>
      <c r="G16" s="3011"/>
      <c r="H16" s="3011"/>
      <c r="R16" s="1000">
        <v>14</v>
      </c>
    </row>
    <row customHeight="1" ht="22.5" hidden="1">
      <c r="A17" s="990" t="s">
        <v>82</v>
      </c>
      <c r="B17" s="772">
        <v>0</v>
      </c>
      <c r="C17" s="970">
        <v>3</v>
      </c>
      <c r="D17" s="1000">
        <v>6</v>
      </c>
      <c r="E17" s="1000">
        <v>53</v>
      </c>
      <c r="F17" s="1000">
        <v>35</v>
      </c>
      <c r="G17" s="1000">
        <v>35</v>
      </c>
      <c r="H17" s="1000">
        <v>89</v>
      </c>
      <c r="I17" s="1000">
        <v>10</v>
      </c>
      <c r="J17" s="976">
        <v>10</v>
      </c>
      <c r="K17" s="976">
        <v>10</v>
      </c>
      <c r="L17" s="1000">
        <v>10</v>
      </c>
      <c r="M17" s="1000">
        <v>10</v>
      </c>
      <c r="N17" s="1000">
        <v>10</v>
      </c>
      <c r="O17" s="1000">
        <v>10</v>
      </c>
      <c r="P17" s="1000">
        <v>10</v>
      </c>
      <c r="Q17" s="1000">
        <v>10</v>
      </c>
      <c r="R17" s="1000">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2D2F81-E95F-CFEE-1D1A-65B70C79EF14}"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34757" width="3.7109375" hidden="1" customWidth="1"/>
    <col min="3" max="3" style="34794" width="3.00390625" customWidth="1"/>
    <col min="4" max="4" style="34794" width="6.00390625" customWidth="1"/>
    <col min="5" max="5" style="34794" width="42.00390625" customWidth="1"/>
    <col min="6" max="6" style="34794" width="15.00390625" customWidth="1"/>
    <col min="7" max="7" style="34794" width="42.00390625" customWidth="1"/>
    <col min="8" max="8" style="34794" width="3.00390625" customWidth="1"/>
    <col min="9" max="9" style="34794" width="5.00390625" customWidth="1"/>
    <col min="10" max="10" style="34794" width="47.00390625" customWidth="1"/>
    <col min="11" max="12" style="34794" width="3.00390625" customWidth="1"/>
    <col min="13" max="13" style="34794" width="5.00390625" customWidth="1"/>
    <col min="14" max="14" style="34794" width="28.00390625" customWidth="1"/>
    <col min="15" max="16" style="34794" width="3.00390625" customWidth="1"/>
    <col min="17" max="17" style="34794" width="5.00390625" customWidth="1"/>
    <col min="18" max="18" style="34794" width="34.00390625" customWidth="1"/>
    <col min="19" max="20" style="34794" width="3.7109375" customWidth="1"/>
    <col min="21" max="21" style="34794" width="5.7109375" customWidth="1"/>
    <col min="22" max="22" style="34794" width="34.421875" customWidth="1"/>
    <col min="23" max="23" style="34794" width="30.00390625" customWidth="1"/>
    <col min="24" max="24" style="34794" width="3.00390625" customWidth="1"/>
    <col min="25" max="28" style="34858" width="9.8515625" hidden="1" customWidth="1"/>
    <col min="29" max="29" style="34858" width="27.00390625" hidden="1" customWidth="1"/>
    <col min="30" max="30" style="34858" width="10.57421875" hidden="1" customWidth="1"/>
    <col min="31" max="31" style="34858" width="10.7109375" hidden="1" customWidth="1"/>
    <col min="32" max="32" style="34858" width="10.00390625" hidden="1" customWidth="1"/>
    <col min="33" max="33" style="34858" width="12.8515625" hidden="1" customWidth="1"/>
    <col min="34" max="34" style="34858" width="24.421875" hidden="1" customWidth="1"/>
    <col min="35" max="35" style="34858" width="15.8515625" hidden="1" customWidth="1"/>
    <col min="36" max="36" style="34858" width="19.421875" hidden="1" customWidth="1"/>
    <col min="37" max="37" style="34858" width="11.00390625" hidden="1" customWidth="1"/>
    <col min="38" max="38" style="34858" width="23.57421875" hidden="1" customWidth="1"/>
    <col min="39" max="39" style="34858" width="23.8515625" hidden="1" customWidth="1"/>
    <col min="40" max="40" style="34858" width="25.28125" hidden="1" customWidth="1"/>
    <col min="41" max="41" style="34858" width="16.8515625" hidden="1" customWidth="1"/>
    <col min="42" max="42" style="34858" width="29.57421875" hidden="1" customWidth="1"/>
    <col min="43" max="43" style="34858" width="29.8515625" hidden="1" customWidth="1"/>
    <col min="44" max="44" style="34794" width="9.140625" hidden="1"/>
  </cols>
  <sheetData>
    <row customHeight="1" ht="11.25" hidden="1">
      <c r="A1" s="782"/>
      <c r="AR1" s="730" t="s">
        <v>14</v>
      </c>
    </row>
    <row customHeight="1" ht="11.25" hidden="1">
      <c r="AR2" s="730">
        <v>0</v>
      </c>
    </row>
    <row customHeight="1" ht="11.25" hidden="1">
      <c r="AR3" s="730">
        <v>0</v>
      </c>
    </row>
    <row customHeight="1" ht="3">
      <c r="AR4" s="730">
        <v>3</v>
      </c>
    </row>
    <row s="34765" customFormat="1" customHeight="1" ht="30.45">
      <c r="A5" s="780"/>
      <c r="B5" s="780"/>
      <c r="D5" s="27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784"/>
      <c r="F5" s="2784"/>
      <c r="G5" s="2784"/>
      <c r="H5" s="2784"/>
      <c r="I5" s="2784"/>
      <c r="J5" s="2785"/>
      <c r="K5" s="891"/>
      <c r="L5" s="768"/>
      <c r="M5" s="768"/>
      <c r="N5" s="768"/>
      <c r="O5" s="768"/>
      <c r="P5" s="768"/>
      <c r="Q5" s="768"/>
      <c r="R5" s="768"/>
      <c r="S5" s="916"/>
      <c r="T5" s="916"/>
      <c r="U5" s="916"/>
      <c r="V5" s="916"/>
      <c r="W5" s="768"/>
      <c r="Y5" s="1886"/>
      <c r="Z5" s="1886"/>
      <c r="AA5" s="1886"/>
      <c r="AB5" s="1886"/>
      <c r="AC5" s="1886"/>
      <c r="AD5" s="1886"/>
      <c r="AE5" s="1886"/>
      <c r="AF5" s="1886"/>
      <c r="AG5" s="1886"/>
      <c r="AH5" s="1886"/>
      <c r="AI5" s="1886"/>
      <c r="AJ5" s="1886"/>
      <c r="AK5" s="1886"/>
      <c r="AL5" s="1886"/>
      <c r="AM5" s="1886"/>
      <c r="AN5" s="1886"/>
      <c r="AO5" s="1886"/>
      <c r="AP5" s="1886"/>
      <c r="AQ5" s="1886"/>
      <c r="AR5" s="737">
        <v>29</v>
      </c>
    </row>
    <row s="34765" customFormat="1" customHeight="1" ht="14.699999999999998">
      <c r="A6" s="1211"/>
      <c r="B6" s="1211"/>
      <c r="C6" s="1211"/>
      <c r="D6" s="2789" t="str">
        <f>IF(org=0,"Не определено",org)</f>
        <v>АО "ДГК"</v>
      </c>
      <c r="E6" s="2789"/>
      <c r="F6" s="2789"/>
      <c r="G6" s="2789"/>
      <c r="H6" s="2789"/>
      <c r="I6" s="2789"/>
      <c r="J6" s="2789"/>
      <c r="K6" s="1212"/>
      <c r="L6" s="1212"/>
      <c r="M6" s="1212"/>
      <c r="N6" s="1212"/>
      <c r="O6" s="1496"/>
      <c r="P6" s="1496"/>
      <c r="Q6" s="1496"/>
      <c r="R6" s="1496"/>
      <c r="S6" s="1496"/>
      <c r="T6" s="1496"/>
      <c r="U6" s="1496"/>
      <c r="V6" s="1496"/>
      <c r="W6" s="1496"/>
      <c r="X6" s="1212"/>
      <c r="Y6" s="1887"/>
      <c r="Z6" s="1887"/>
      <c r="AA6" s="1887"/>
      <c r="AB6" s="1887"/>
      <c r="AC6" s="1887"/>
      <c r="AD6" s="1887"/>
      <c r="AE6" s="1887"/>
      <c r="AF6" s="1887"/>
      <c r="AG6" s="1887"/>
      <c r="AH6" s="1887"/>
      <c r="AI6" s="1887"/>
      <c r="AJ6" s="1887"/>
      <c r="AK6" s="1887"/>
      <c r="AL6" s="1887"/>
      <c r="AM6" s="1887"/>
      <c r="AN6" s="1887"/>
      <c r="AO6" s="1887"/>
      <c r="AP6" s="1887"/>
      <c r="AQ6" s="1887"/>
      <c r="AR6" s="1213">
        <v>14</v>
      </c>
    </row>
    <row s="34871" customFormat="1" customHeight="1" ht="11.549999999999999">
      <c r="A7" s="837"/>
      <c r="B7" s="837"/>
      <c r="D7" s="2786"/>
      <c r="E7" s="2787"/>
      <c r="F7" s="2787"/>
      <c r="G7" s="2787"/>
      <c r="H7" s="2787"/>
      <c r="I7" s="2787"/>
      <c r="J7" s="2788"/>
      <c r="S7" s="925"/>
      <c r="T7" s="925"/>
      <c r="U7" s="925"/>
      <c r="V7" s="925"/>
      <c r="Y7" s="1888"/>
      <c r="Z7" s="1888"/>
      <c r="AA7" s="1888"/>
      <c r="AB7" s="1888"/>
      <c r="AC7" s="1888"/>
      <c r="AD7" s="1888"/>
      <c r="AE7" s="1888"/>
      <c r="AF7" s="1888"/>
      <c r="AG7" s="1888"/>
      <c r="AH7" s="1888"/>
      <c r="AI7" s="1888"/>
      <c r="AJ7" s="1888"/>
      <c r="AK7" s="1888"/>
      <c r="AL7" s="1888"/>
      <c r="AM7" s="1888"/>
      <c r="AN7" s="1888"/>
      <c r="AO7" s="1888"/>
      <c r="AP7" s="1888"/>
      <c r="AQ7" s="1888"/>
      <c r="AR7" s="902">
        <v>11</v>
      </c>
    </row>
    <row s="34765" customFormat="1" customHeight="1" ht="1.05">
      <c r="A8" s="780"/>
      <c r="B8" s="780"/>
      <c r="D8" s="838"/>
      <c r="E8" s="838"/>
      <c r="F8" s="838"/>
      <c r="G8" s="838"/>
      <c r="H8" s="838"/>
      <c r="I8" s="838"/>
      <c r="J8" s="838"/>
      <c r="K8" s="838"/>
      <c r="L8" s="838"/>
      <c r="M8" s="838"/>
      <c r="N8" s="838"/>
      <c r="O8" s="838"/>
      <c r="P8" s="838"/>
      <c r="Q8" s="838"/>
      <c r="R8" s="838"/>
      <c r="S8" s="838"/>
      <c r="T8" s="838"/>
      <c r="U8" s="838"/>
      <c r="V8" s="838"/>
      <c r="W8" s="838"/>
      <c r="X8" s="758"/>
      <c r="Y8" s="1886"/>
      <c r="Z8" s="1886"/>
      <c r="AA8" s="1886"/>
      <c r="AB8" s="1886"/>
      <c r="AC8" s="1886"/>
      <c r="AD8" s="1886"/>
      <c r="AE8" s="1886"/>
      <c r="AF8" s="1886"/>
      <c r="AG8" s="1886"/>
      <c r="AH8" s="1886"/>
      <c r="AI8" s="1886"/>
      <c r="AJ8" s="1886"/>
      <c r="AK8" s="1886"/>
      <c r="AL8" s="1886"/>
      <c r="AM8" s="1886"/>
      <c r="AN8" s="1886"/>
      <c r="AO8" s="1886"/>
      <c r="AP8" s="1886"/>
      <c r="AQ8" s="1886"/>
      <c r="AR8" s="737">
        <v>1</v>
      </c>
    </row>
    <row customHeight="1" ht="28.5">
      <c r="D9" s="2753" t="s">
        <v>88</v>
      </c>
      <c r="E9" s="2727" t="s">
        <v>142</v>
      </c>
      <c r="F9" s="2729"/>
      <c r="G9" s="2753" t="s">
        <v>114</v>
      </c>
      <c r="H9" s="2753" t="s">
        <v>88</v>
      </c>
      <c r="I9" s="2753"/>
      <c r="J9" s="2753" t="s">
        <v>143</v>
      </c>
      <c r="K9" s="2781" t="s">
        <v>144</v>
      </c>
      <c r="L9" s="2781"/>
      <c r="M9" s="2781"/>
      <c r="N9" s="2781"/>
      <c r="O9" s="2781" t="s">
        <v>145</v>
      </c>
      <c r="P9" s="2781"/>
      <c r="Q9" s="2781"/>
      <c r="R9" s="2781"/>
      <c r="S9" s="2781" t="s">
        <v>146</v>
      </c>
      <c r="T9" s="2781"/>
      <c r="U9" s="2781"/>
      <c r="V9" s="2781"/>
      <c r="W9" s="2753" t="s">
        <v>147</v>
      </c>
      <c r="AR9" s="730">
        <v>27</v>
      </c>
    </row>
    <row customHeight="1" ht="31.5">
      <c r="D10" s="2753"/>
      <c r="E10" s="1910" t="s">
        <v>89</v>
      </c>
      <c r="F10" s="1910" t="s">
        <v>148</v>
      </c>
      <c r="G10" s="2753"/>
      <c r="H10" s="2753"/>
      <c r="I10" s="2753"/>
      <c r="J10" s="2753"/>
      <c r="K10" s="736" t="s">
        <v>117</v>
      </c>
      <c r="L10" s="2753" t="s">
        <v>88</v>
      </c>
      <c r="M10" s="2753"/>
      <c r="N10" s="736" t="s">
        <v>149</v>
      </c>
      <c r="O10" s="736" t="s">
        <v>117</v>
      </c>
      <c r="P10" s="2753" t="s">
        <v>88</v>
      </c>
      <c r="Q10" s="2753"/>
      <c r="R10" s="736" t="s">
        <v>149</v>
      </c>
      <c r="S10" s="909" t="s">
        <v>117</v>
      </c>
      <c r="T10" s="2753" t="s">
        <v>88</v>
      </c>
      <c r="U10" s="2753"/>
      <c r="V10" s="909" t="s">
        <v>89</v>
      </c>
      <c r="W10" s="2753"/>
      <c r="Z10" s="1885" t="s">
        <v>150</v>
      </c>
      <c r="AA10" s="1885" t="s">
        <v>151</v>
      </c>
      <c r="AB10" s="1885" t="s">
        <v>152</v>
      </c>
      <c r="AC10" s="1885" t="s">
        <v>153</v>
      </c>
      <c r="AD10" s="1885" t="s">
        <v>154</v>
      </c>
      <c r="AE10" s="1885" t="s">
        <v>155</v>
      </c>
      <c r="AF10" s="1885" t="s">
        <v>156</v>
      </c>
      <c r="AG10" s="1885" t="s">
        <v>157</v>
      </c>
      <c r="AH10" s="1885" t="s">
        <v>158</v>
      </c>
      <c r="AI10" s="1885" t="s">
        <v>159</v>
      </c>
      <c r="AJ10" s="1885" t="s">
        <v>160</v>
      </c>
      <c r="AK10" s="1885" t="s">
        <v>161</v>
      </c>
      <c r="AL10" s="1885" t="s">
        <v>162</v>
      </c>
      <c r="AM10" s="1885" t="s">
        <v>163</v>
      </c>
      <c r="AN10" s="1885" t="s">
        <v>164</v>
      </c>
      <c r="AO10" s="1885" t="s">
        <v>165</v>
      </c>
      <c r="AP10" s="1885" t="s">
        <v>166</v>
      </c>
      <c r="AQ10" s="1885" t="s">
        <v>167</v>
      </c>
      <c r="AR10" s="730">
        <v>30</v>
      </c>
    </row>
    <row s="34757" customFormat="1" customHeight="1" ht="12" hidden="1">
      <c r="D11" s="1875" t="s">
        <v>118</v>
      </c>
      <c r="E11" s="1875" t="s">
        <v>102</v>
      </c>
      <c r="F11" s="1875"/>
      <c r="G11" s="1875" t="s">
        <v>90</v>
      </c>
      <c r="H11" s="2782" t="s">
        <v>119</v>
      </c>
      <c r="I11" s="2782"/>
      <c r="J11" s="1875" t="s">
        <v>92</v>
      </c>
      <c r="K11" s="1875" t="s">
        <v>93</v>
      </c>
      <c r="L11" s="2782" t="s">
        <v>120</v>
      </c>
      <c r="M11" s="2782"/>
      <c r="N11" s="1875" t="s">
        <v>168</v>
      </c>
      <c r="O11" s="1875" t="s">
        <v>169</v>
      </c>
      <c r="P11" s="2782" t="s">
        <v>170</v>
      </c>
      <c r="Q11" s="2782"/>
      <c r="R11" s="1875" t="s">
        <v>171</v>
      </c>
      <c r="S11" s="1875" t="s">
        <v>170</v>
      </c>
      <c r="T11" s="2782" t="s">
        <v>171</v>
      </c>
      <c r="U11" s="2782"/>
      <c r="V11" s="1875" t="s">
        <v>172</v>
      </c>
      <c r="W11" s="1875" t="s">
        <v>173</v>
      </c>
      <c r="Y11" s="1885"/>
      <c r="Z11" s="1885"/>
      <c r="AA11" s="1885"/>
      <c r="AB11" s="1885"/>
      <c r="AC11" s="1885"/>
      <c r="AD11" s="1885"/>
      <c r="AE11" s="1885"/>
      <c r="AF11" s="1885"/>
      <c r="AG11" s="1885"/>
      <c r="AH11" s="1885"/>
      <c r="AI11" s="1885"/>
      <c r="AJ11" s="1885"/>
      <c r="AK11" s="1885"/>
      <c r="AL11" s="1885"/>
      <c r="AM11" s="1885"/>
      <c r="AN11" s="1885"/>
      <c r="AO11" s="1885"/>
      <c r="AP11" s="1885"/>
      <c r="AQ11" s="1885"/>
      <c r="AR11" s="903">
        <v>0</v>
      </c>
    </row>
    <row customHeight="1" ht="14.25" hidden="1">
      <c r="C12" s="835"/>
      <c r="D12" s="1908">
        <v>0</v>
      </c>
      <c r="E12" s="876"/>
      <c r="F12" s="876"/>
      <c r="G12" s="876"/>
      <c r="H12" s="877"/>
      <c r="I12" s="877"/>
      <c r="J12" s="784"/>
      <c r="K12" s="738"/>
      <c r="L12" s="784"/>
      <c r="M12" s="784"/>
      <c r="N12" s="878"/>
      <c r="O12" s="738"/>
      <c r="P12" s="784"/>
      <c r="Q12" s="784"/>
      <c r="R12" s="879"/>
      <c r="S12" s="910"/>
      <c r="T12" s="918"/>
      <c r="U12" s="918"/>
      <c r="V12" s="922"/>
      <c r="W12" s="738"/>
      <c r="X12" s="767"/>
      <c r="AR12" s="730">
        <v>0</v>
      </c>
    </row>
    <row s="34794" customFormat="1" customHeight="1" ht="17.25" hidden="1">
      <c r="A13" s="947"/>
      <c r="C13" s="835"/>
      <c r="D13" s="2761">
        <v>1</v>
      </c>
      <c r="E13" s="2769" t="s">
        <v>174</v>
      </c>
      <c r="F13" s="2771" t="s">
        <v>19</v>
      </c>
      <c r="G13" s="2769"/>
      <c r="H13" s="2774"/>
      <c r="I13" s="2776"/>
      <c r="J13" s="2778"/>
      <c r="K13" s="2763"/>
      <c r="L13" s="2763"/>
      <c r="M13" s="2763"/>
      <c r="N13" s="2765"/>
      <c r="O13" s="2763"/>
      <c r="P13" s="2763"/>
      <c r="Q13" s="2763"/>
      <c r="R13" s="2768"/>
      <c r="S13" s="2763"/>
      <c r="T13" s="2046"/>
      <c r="U13" s="2046"/>
      <c r="V13" s="2045"/>
      <c r="W13" s="1922"/>
      <c r="Y13" s="1893"/>
      <c r="Z13" s="1893"/>
      <c r="AA13" s="1893"/>
      <c r="AB13" s="1893"/>
      <c r="AC13" s="1893" t="s">
        <v>175</v>
      </c>
      <c r="AD13" s="1893" t="s">
        <v>176</v>
      </c>
      <c r="AE13" s="1893" t="s">
        <v>177</v>
      </c>
      <c r="AF13" s="1893" t="s">
        <v>178</v>
      </c>
      <c r="AG13" s="1893" t="s">
        <v>179</v>
      </c>
      <c r="AH13" s="18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893" t="str">
        <f>IF($G$13=0,"",$G$13)</f>
        <v/>
      </c>
      <c r="AJ13" s="1893" t="str">
        <f>IF($J$13=0,"",$J$13)</f>
        <v/>
      </c>
      <c r="AK13" s="1893" t="str">
        <f>IF($K$13="нет","без дифференциации",IF($N$13=0,"",$N$13))</f>
        <v/>
      </c>
      <c r="AL13" s="1893" t="str">
        <f>IF($O$13="нет","без дифференциации",IF($R$13=0,"",$R$13))</f>
        <v/>
      </c>
      <c r="AM13" s="1893" t="str">
        <f>IF($S$13="нет","без дифференциации",IF($V$13=0,"",$V$13))</f>
        <v/>
      </c>
      <c r="AN13" s="1893">
        <f>$I$13</f>
        <v>0</v>
      </c>
      <c r="AO13" s="1893" t="str">
        <f>$I$13&amp;"."&amp;$M$13</f>
        <v>.</v>
      </c>
      <c r="AP13" s="1893" t="str">
        <f>$I$13&amp;"."&amp;$M$13&amp;"."&amp;$Q$13</f>
        <v>..</v>
      </c>
      <c r="AQ13" s="1893" t="str">
        <f>$I$13&amp;"."&amp;$M$13&amp;"."&amp;$Q$13&amp;"."&amp;$U$13</f>
        <v>...</v>
      </c>
      <c r="AR13" s="1376">
        <v>0</v>
      </c>
    </row>
    <row s="34794" customFormat="1" customHeight="1" ht="17.25" hidden="1">
      <c r="A14" s="947"/>
      <c r="C14" s="946"/>
      <c r="D14" s="2761"/>
      <c r="E14" s="2769"/>
      <c r="F14" s="2772"/>
      <c r="G14" s="2769"/>
      <c r="H14" s="2775"/>
      <c r="I14" s="2777"/>
      <c r="J14" s="2779"/>
      <c r="K14" s="2764"/>
      <c r="L14" s="2764"/>
      <c r="M14" s="2764"/>
      <c r="N14" s="2766"/>
      <c r="O14" s="2764"/>
      <c r="P14" s="2764"/>
      <c r="Q14" s="2764"/>
      <c r="R14" s="2767"/>
      <c r="S14" s="2764"/>
      <c r="T14" s="1923"/>
      <c r="U14" s="1923"/>
      <c r="V14" s="1923"/>
      <c r="W14" s="1924"/>
      <c r="Y14" s="1885"/>
      <c r="Z14" s="1885"/>
      <c r="AA14" s="1885"/>
      <c r="AB14" s="1885"/>
      <c r="AC14" s="1885"/>
      <c r="AD14" s="1885"/>
      <c r="AE14" s="1885"/>
      <c r="AF14" s="1885"/>
      <c r="AG14" s="1885"/>
      <c r="AH14" s="1885"/>
      <c r="AI14" s="1885"/>
      <c r="AJ14" s="1885"/>
      <c r="AK14" s="1885"/>
      <c r="AL14" s="1885"/>
      <c r="AM14" s="1885"/>
      <c r="AN14" s="1885"/>
      <c r="AO14" s="1885"/>
      <c r="AP14" s="1885"/>
      <c r="AQ14" s="1885"/>
      <c r="AR14" s="1376">
        <v>0</v>
      </c>
    </row>
    <row s="34794" customFormat="1" customHeight="1" ht="17.25" hidden="1">
      <c r="A15" s="947"/>
      <c r="C15" s="835"/>
      <c r="D15" s="2761"/>
      <c r="E15" s="2769"/>
      <c r="F15" s="2772"/>
      <c r="G15" s="2769"/>
      <c r="H15" s="2775"/>
      <c r="I15" s="2777"/>
      <c r="J15" s="2780"/>
      <c r="K15" s="2764"/>
      <c r="L15" s="2764"/>
      <c r="M15" s="2764"/>
      <c r="N15" s="2767"/>
      <c r="O15" s="2764"/>
      <c r="P15" s="2044"/>
      <c r="Q15" s="1923"/>
      <c r="R15" s="1923"/>
      <c r="S15" s="955"/>
      <c r="T15" s="955"/>
      <c r="U15" s="955"/>
      <c r="V15" s="955"/>
      <c r="W15" s="1924"/>
      <c r="Y15" s="1893"/>
      <c r="Z15" s="1893"/>
      <c r="AA15" s="1893"/>
      <c r="AB15" s="1893"/>
      <c r="AC15" s="1893"/>
      <c r="AD15" s="1893"/>
      <c r="AE15" s="1893"/>
      <c r="AF15" s="1893"/>
      <c r="AG15" s="1893"/>
      <c r="AH15" s="1893"/>
      <c r="AI15" s="1893"/>
      <c r="AJ15" s="1893"/>
      <c r="AK15" s="1893"/>
      <c r="AL15" s="1893"/>
      <c r="AM15" s="1893"/>
      <c r="AN15" s="1893"/>
      <c r="AO15" s="1893"/>
      <c r="AP15" s="1893"/>
      <c r="AQ15" s="1893"/>
      <c r="AR15" s="2043">
        <v>0</v>
      </c>
    </row>
    <row s="34794" customFormat="1" customHeight="1" ht="17.25" hidden="1">
      <c r="A16" s="947"/>
      <c r="C16" s="946"/>
      <c r="D16" s="2761"/>
      <c r="E16" s="2769"/>
      <c r="F16" s="2772"/>
      <c r="G16" s="2769"/>
      <c r="H16" s="2775"/>
      <c r="I16" s="2777"/>
      <c r="J16" s="2780"/>
      <c r="K16" s="2764"/>
      <c r="L16" s="1923"/>
      <c r="M16" s="1923"/>
      <c r="N16" s="1923"/>
      <c r="O16" s="1923"/>
      <c r="P16" s="1923"/>
      <c r="Q16" s="1923"/>
      <c r="R16" s="1923"/>
      <c r="S16" s="955"/>
      <c r="T16" s="955"/>
      <c r="U16" s="955"/>
      <c r="V16" s="955"/>
      <c r="W16" s="1924"/>
      <c r="Y16" s="1885"/>
      <c r="Z16" s="1885"/>
      <c r="AA16" s="1885"/>
      <c r="AB16" s="1885"/>
      <c r="AC16" s="1885"/>
      <c r="AD16" s="1885"/>
      <c r="AE16" s="1885"/>
      <c r="AF16" s="1885"/>
      <c r="AG16" s="1885"/>
      <c r="AH16" s="1885"/>
      <c r="AI16" s="1885"/>
      <c r="AJ16" s="1885"/>
      <c r="AK16" s="1885"/>
      <c r="AL16" s="1885"/>
      <c r="AM16" s="1885"/>
      <c r="AN16" s="1885"/>
      <c r="AO16" s="1885"/>
      <c r="AP16" s="1885"/>
      <c r="AQ16" s="1885"/>
      <c r="AR16" s="2043">
        <v>0</v>
      </c>
    </row>
    <row s="34794" customFormat="1" customHeight="1" ht="17.25" hidden="1">
      <c r="A17" s="947"/>
      <c r="C17" s="946"/>
      <c r="D17" s="2762"/>
      <c r="E17" s="2770"/>
      <c r="F17" s="2773"/>
      <c r="G17" s="2770"/>
      <c r="H17" s="1925"/>
      <c r="I17" s="1926"/>
      <c r="J17" s="1926"/>
      <c r="K17" s="1926"/>
      <c r="L17" s="1926"/>
      <c r="M17" s="1926"/>
      <c r="N17" s="1926"/>
      <c r="O17" s="1926"/>
      <c r="P17" s="1926"/>
      <c r="Q17" s="1926"/>
      <c r="R17" s="1926"/>
      <c r="S17" s="1927"/>
      <c r="T17" s="1927"/>
      <c r="U17" s="1927"/>
      <c r="V17" s="1927"/>
      <c r="W17" s="1928"/>
      <c r="Y17" s="1885"/>
      <c r="Z17" s="1885"/>
      <c r="AA17" s="1885"/>
      <c r="AB17" s="1885"/>
      <c r="AC17" s="1885"/>
      <c r="AD17" s="1885"/>
      <c r="AE17" s="1885"/>
      <c r="AF17" s="1885"/>
      <c r="AG17" s="1885"/>
      <c r="AH17" s="1885"/>
      <c r="AI17" s="1885"/>
      <c r="AJ17" s="1885"/>
      <c r="AK17" s="1885"/>
      <c r="AL17" s="1885"/>
      <c r="AM17" s="1885"/>
      <c r="AN17" s="1885"/>
      <c r="AO17" s="1885"/>
      <c r="AP17" s="1885"/>
      <c r="AQ17" s="1885"/>
      <c r="AR17" s="1376">
        <v>0</v>
      </c>
    </row>
    <row s="34794" customFormat="1" customHeight="1" ht="17.25" hidden="1">
      <c r="A18" s="947"/>
      <c r="C18" s="835"/>
      <c r="D18" s="2761">
        <v>2</v>
      </c>
      <c r="E18" s="2790"/>
      <c r="F18" s="2771" t="s">
        <v>19</v>
      </c>
      <c r="G18" s="2769"/>
      <c r="H18" s="2774"/>
      <c r="I18" s="2776"/>
      <c r="J18" s="2778"/>
      <c r="K18" s="2763"/>
      <c r="L18" s="2763"/>
      <c r="M18" s="2763"/>
      <c r="N18" s="2765"/>
      <c r="O18" s="2763"/>
      <c r="P18" s="2763"/>
      <c r="Q18" s="2763"/>
      <c r="R18" s="2768"/>
      <c r="S18" s="2763"/>
      <c r="T18" s="2046"/>
      <c r="U18" s="2046"/>
      <c r="V18" s="2045"/>
      <c r="W18" s="1922"/>
      <c r="X18" s="1893"/>
      <c r="Y18" s="1893"/>
      <c r="Z18" s="1893"/>
      <c r="AA18" s="1893"/>
      <c r="AB18" s="1893"/>
      <c r="AC18" s="1893" t="s">
        <v>180</v>
      </c>
      <c r="AD18" s="1893" t="s">
        <v>181</v>
      </c>
      <c r="AE18" s="1893" t="s">
        <v>182</v>
      </c>
      <c r="AF18" s="1893" t="s">
        <v>183</v>
      </c>
      <c r="AG18" s="1893" t="s">
        <v>184</v>
      </c>
      <c r="AH18" s="1893" t="str">
        <f>IF($E$18=0,"",$E$18)</f>
        <v/>
      </c>
      <c r="AI18" s="1893" t="str">
        <f>IF($G$18=0,"",$G$18)</f>
        <v/>
      </c>
      <c r="AJ18" s="1893" t="str">
        <f>IF($J$18=0,"",$J$18)</f>
        <v/>
      </c>
      <c r="AK18" s="1893" t="str">
        <f>IF($K$18="нет","без дифференциации",IF($N$18=0,"",$N$18))</f>
        <v/>
      </c>
      <c r="AL18" s="1893" t="str">
        <f>IF($O$18="нет","без дифференциации",IF($R$18=0,"",$R$18))</f>
        <v/>
      </c>
      <c r="AM18" s="1893" t="str">
        <f>IF($S$18="нет","без дифференциации",IF($V$18=0,"",$V$18))</f>
        <v/>
      </c>
      <c r="AN18" s="2398">
        <f>$I$18</f>
        <v>0</v>
      </c>
      <c r="AO18" s="1893" t="str">
        <f>$I$18&amp;"."&amp;$M$18</f>
        <v>.</v>
      </c>
      <c r="AP18" s="1885" t="str">
        <f>$I$18&amp;"."&amp;$M$18&amp;"."&amp;$Q$18</f>
        <v>..</v>
      </c>
      <c r="AQ18" s="1885" t="str">
        <f>$I$18&amp;"."&amp;$M$18&amp;"."&amp;$Q$18&amp;"."&amp;$U$18</f>
        <v>...</v>
      </c>
      <c r="AR18" s="1909">
        <v>0</v>
      </c>
    </row>
    <row s="34794" customFormat="1" customHeight="1" ht="17.25" hidden="1">
      <c r="A19" s="947"/>
      <c r="C19" s="946"/>
      <c r="D19" s="2761"/>
      <c r="E19" s="2790"/>
      <c r="F19" s="2772"/>
      <c r="G19" s="2769"/>
      <c r="H19" s="2775"/>
      <c r="I19" s="2777"/>
      <c r="J19" s="2779"/>
      <c r="K19" s="2764"/>
      <c r="L19" s="2764"/>
      <c r="M19" s="2764"/>
      <c r="N19" s="2766"/>
      <c r="O19" s="2764"/>
      <c r="P19" s="2764"/>
      <c r="Q19" s="2764"/>
      <c r="R19" s="2767"/>
      <c r="S19" s="2764"/>
      <c r="T19" s="1923"/>
      <c r="U19" s="1923"/>
      <c r="V19" s="1923"/>
      <c r="W19" s="1924"/>
      <c r="X19" s="1885"/>
      <c r="Y19" s="1885"/>
      <c r="Z19" s="1885"/>
      <c r="AA19" s="1885"/>
      <c r="AB19" s="1885"/>
      <c r="AC19" s="1885"/>
      <c r="AD19" s="1885"/>
      <c r="AE19" s="1885"/>
      <c r="AF19" s="1885"/>
      <c r="AG19" s="1885"/>
      <c r="AH19" s="1885"/>
      <c r="AI19" s="1885"/>
      <c r="AJ19" s="1885"/>
      <c r="AK19" s="1885"/>
      <c r="AL19" s="1885"/>
      <c r="AM19" s="1885"/>
      <c r="AN19" s="1885"/>
      <c r="AO19" s="1885"/>
      <c r="AP19" s="1885"/>
      <c r="AQ19" s="1885"/>
      <c r="AR19" s="1909">
        <v>0</v>
      </c>
    </row>
    <row s="34794" customFormat="1" customHeight="1" ht="17.25" hidden="1">
      <c r="A20" s="947"/>
      <c r="C20" s="946"/>
      <c r="D20" s="2762"/>
      <c r="E20" s="2791"/>
      <c r="F20" s="2772"/>
      <c r="G20" s="2770"/>
      <c r="H20" s="2775"/>
      <c r="I20" s="2777"/>
      <c r="J20" s="2780"/>
      <c r="K20" s="2764"/>
      <c r="L20" s="2764"/>
      <c r="M20" s="2764"/>
      <c r="N20" s="2767"/>
      <c r="O20" s="2764"/>
      <c r="P20" s="2044"/>
      <c r="Q20" s="1923"/>
      <c r="R20" s="1923"/>
      <c r="S20" s="955"/>
      <c r="T20" s="955"/>
      <c r="U20" s="955"/>
      <c r="V20" s="955"/>
      <c r="W20" s="1924"/>
      <c r="X20" s="1885"/>
      <c r="Y20" s="1885"/>
      <c r="Z20" s="1885"/>
      <c r="AA20" s="1885"/>
      <c r="AB20" s="1885"/>
      <c r="AC20" s="1885"/>
      <c r="AD20" s="1885"/>
      <c r="AE20" s="1885"/>
      <c r="AF20" s="1885"/>
      <c r="AG20" s="1885"/>
      <c r="AH20" s="1885"/>
      <c r="AI20" s="1885"/>
      <c r="AJ20" s="1885"/>
      <c r="AK20" s="1885"/>
      <c r="AL20" s="1885"/>
      <c r="AM20" s="1885"/>
      <c r="AN20" s="1885"/>
      <c r="AO20" s="1885"/>
      <c r="AP20" s="1885"/>
      <c r="AQ20" s="1885"/>
      <c r="AR20" s="1909">
        <v>0</v>
      </c>
    </row>
    <row s="34794" customFormat="1" customHeight="1" ht="17.25" hidden="1">
      <c r="A21" s="947"/>
      <c r="C21" s="946"/>
      <c r="D21" s="2762"/>
      <c r="E21" s="2791"/>
      <c r="F21" s="2772"/>
      <c r="G21" s="2770"/>
      <c r="H21" s="2775"/>
      <c r="I21" s="2777"/>
      <c r="J21" s="2780"/>
      <c r="K21" s="2764"/>
      <c r="L21" s="1923"/>
      <c r="M21" s="1923"/>
      <c r="N21" s="1923"/>
      <c r="O21" s="1923"/>
      <c r="P21" s="1923"/>
      <c r="Q21" s="1923"/>
      <c r="R21" s="1923"/>
      <c r="S21" s="955"/>
      <c r="T21" s="955"/>
      <c r="U21" s="955"/>
      <c r="V21" s="955"/>
      <c r="W21" s="1924"/>
      <c r="X21" s="1885"/>
      <c r="Y21" s="1885"/>
      <c r="Z21" s="1885"/>
      <c r="AA21" s="1885"/>
      <c r="AB21" s="1885"/>
      <c r="AC21" s="1885"/>
      <c r="AD21" s="1885"/>
      <c r="AE21" s="1885"/>
      <c r="AF21" s="1885"/>
      <c r="AG21" s="1885"/>
      <c r="AH21" s="1885"/>
      <c r="AI21" s="1885"/>
      <c r="AJ21" s="1885"/>
      <c r="AK21" s="1885"/>
      <c r="AL21" s="1885"/>
      <c r="AM21" s="1885"/>
      <c r="AN21" s="1885"/>
      <c r="AO21" s="1885"/>
      <c r="AP21" s="1885"/>
      <c r="AQ21" s="1885"/>
      <c r="AR21" s="1909">
        <v>0</v>
      </c>
    </row>
    <row s="34794" customFormat="1" customHeight="1" ht="17.25" hidden="1">
      <c r="A22" s="947"/>
      <c r="C22" s="946"/>
      <c r="D22" s="2762"/>
      <c r="E22" s="2791"/>
      <c r="F22" s="2773"/>
      <c r="G22" s="2770"/>
      <c r="H22" s="1925"/>
      <c r="I22" s="1926"/>
      <c r="J22" s="1926"/>
      <c r="K22" s="1926"/>
      <c r="L22" s="1926"/>
      <c r="M22" s="1926"/>
      <c r="N22" s="1926"/>
      <c r="O22" s="1926"/>
      <c r="P22" s="1926"/>
      <c r="Q22" s="1926"/>
      <c r="R22" s="1926"/>
      <c r="S22" s="1927"/>
      <c r="T22" s="1927"/>
      <c r="U22" s="1927"/>
      <c r="V22" s="1927"/>
      <c r="W22" s="1928"/>
      <c r="X22" s="1885"/>
      <c r="Y22" s="1885"/>
      <c r="Z22" s="1885"/>
      <c r="AA22" s="1885"/>
      <c r="AB22" s="1885"/>
      <c r="AC22" s="1885"/>
      <c r="AD22" s="1885"/>
      <c r="AE22" s="1885"/>
      <c r="AF22" s="1885"/>
      <c r="AG22" s="1885"/>
      <c r="AH22" s="1885"/>
      <c r="AI22" s="1885"/>
      <c r="AJ22" s="1885"/>
      <c r="AK22" s="1885"/>
      <c r="AL22" s="1885"/>
      <c r="AM22" s="1885"/>
      <c r="AN22" s="1885"/>
      <c r="AO22" s="1885"/>
      <c r="AP22" s="1885"/>
      <c r="AQ22" s="1885"/>
      <c r="AR22" s="1909">
        <v>0</v>
      </c>
    </row>
    <row s="34794" customFormat="1" customHeight="1" ht="17.25" hidden="1">
      <c r="A23" s="947"/>
      <c r="C23" s="835"/>
      <c r="D23" s="2761">
        <v>2</v>
      </c>
      <c r="E23" s="2769" t="s">
        <v>185</v>
      </c>
      <c r="F23" s="2771" t="s">
        <v>19</v>
      </c>
      <c r="G23" s="2769"/>
      <c r="H23" s="2774"/>
      <c r="I23" s="2776"/>
      <c r="J23" s="2778"/>
      <c r="K23" s="2763"/>
      <c r="L23" s="2763"/>
      <c r="M23" s="2763"/>
      <c r="N23" s="2765"/>
      <c r="O23" s="2763"/>
      <c r="P23" s="2763"/>
      <c r="Q23" s="2763"/>
      <c r="R23" s="2768"/>
      <c r="S23" s="2763"/>
      <c r="T23" s="2624"/>
      <c r="U23" s="2624"/>
      <c r="V23" s="2626"/>
      <c r="W23" s="1922"/>
      <c r="X23" s="1893"/>
      <c r="Y23" s="1893"/>
      <c r="Z23" s="1893"/>
      <c r="AA23" s="1893"/>
      <c r="AB23" s="1893"/>
      <c r="AC23" s="1893" t="s">
        <v>180</v>
      </c>
      <c r="AD23" s="1893" t="s">
        <v>181</v>
      </c>
      <c r="AE23" s="1893" t="s">
        <v>182</v>
      </c>
      <c r="AF23" s="1893" t="s">
        <v>183</v>
      </c>
      <c r="AG23" s="1893" t="s">
        <v>184</v>
      </c>
      <c r="AH23" s="18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893" t="str">
        <f>IF($G$23=0,"",$G$23)</f>
        <v/>
      </c>
      <c r="AJ23" s="1893" t="str">
        <f>IF($J$23=0,"",$J$23)</f>
        <v/>
      </c>
      <c r="AK23" s="1893" t="str">
        <f>IF($K$23="нет","без дифференциации",IF($N$23=0,"",$N$23))</f>
        <v/>
      </c>
      <c r="AL23" s="1893" t="str">
        <f>IF($O$23="нет","без дифференциации",IF($R$23=0,"",$R$23))</f>
        <v/>
      </c>
      <c r="AM23" s="1893" t="str">
        <f>IF($S$23="нет","без дифференциации",IF($V$23=0,"",$V$23))</f>
        <v/>
      </c>
      <c r="AN23" s="2398">
        <f>$I$23</f>
        <v>0</v>
      </c>
      <c r="AO23" s="1893" t="str">
        <f>$I$23&amp;"."&amp;$M$23</f>
        <v>.</v>
      </c>
      <c r="AP23" s="1892" t="str">
        <f>$I$23&amp;"."&amp;$M$23&amp;"."&amp;$Q$23</f>
        <v>..</v>
      </c>
      <c r="AQ23" s="1892" t="str">
        <f>$I$23&amp;"."&amp;$M$23&amp;"."&amp;$Q$23&amp;"."&amp;$U$23</f>
        <v>...</v>
      </c>
      <c r="AR23" s="2093">
        <v>0</v>
      </c>
    </row>
    <row s="34794" customFormat="1" customHeight="1" ht="17.25" hidden="1">
      <c r="A24" s="947"/>
      <c r="C24" s="946"/>
      <c r="D24" s="2761"/>
      <c r="E24" s="2769"/>
      <c r="F24" s="2772"/>
      <c r="G24" s="2769"/>
      <c r="H24" s="2775"/>
      <c r="I24" s="2777"/>
      <c r="J24" s="2779"/>
      <c r="K24" s="2764"/>
      <c r="L24" s="2764"/>
      <c r="M24" s="2764"/>
      <c r="N24" s="2766"/>
      <c r="O24" s="2764"/>
      <c r="P24" s="2764"/>
      <c r="Q24" s="2764"/>
      <c r="R24" s="2767"/>
      <c r="S24" s="2764"/>
      <c r="T24" s="2629"/>
      <c r="U24" s="2629"/>
      <c r="V24" s="2629"/>
      <c r="W24" s="2630"/>
      <c r="X24" s="1892"/>
      <c r="Y24" s="1892"/>
      <c r="Z24" s="1892"/>
      <c r="AA24" s="1892"/>
      <c r="AB24" s="1892"/>
      <c r="AC24" s="1892"/>
      <c r="AD24" s="1892"/>
      <c r="AE24" s="1892"/>
      <c r="AF24" s="1892"/>
      <c r="AG24" s="1892"/>
      <c r="AH24" s="1892"/>
      <c r="AI24" s="1892"/>
      <c r="AJ24" s="1892"/>
      <c r="AK24" s="1892"/>
      <c r="AL24" s="1892"/>
      <c r="AM24" s="1892"/>
      <c r="AN24" s="1892"/>
      <c r="AO24" s="1892"/>
      <c r="AP24" s="1892"/>
      <c r="AQ24" s="1892"/>
      <c r="AR24" s="2093">
        <v>0</v>
      </c>
    </row>
    <row s="34794" customFormat="1" customHeight="1" ht="17.25" hidden="1">
      <c r="A25" s="947"/>
      <c r="C25" s="946"/>
      <c r="D25" s="2762"/>
      <c r="E25" s="2770"/>
      <c r="F25" s="2772"/>
      <c r="G25" s="2770"/>
      <c r="H25" s="2775"/>
      <c r="I25" s="2777"/>
      <c r="J25" s="2780"/>
      <c r="K25" s="2764"/>
      <c r="L25" s="2764"/>
      <c r="M25" s="2764"/>
      <c r="N25" s="2767"/>
      <c r="O25" s="2764"/>
      <c r="P25" s="2625"/>
      <c r="Q25" s="2629"/>
      <c r="R25" s="2629"/>
      <c r="S25" s="955"/>
      <c r="T25" s="955"/>
      <c r="U25" s="955"/>
      <c r="V25" s="955"/>
      <c r="W25" s="2630"/>
      <c r="X25" s="1892"/>
      <c r="Y25" s="1892"/>
      <c r="Z25" s="1892"/>
      <c r="AA25" s="1892"/>
      <c r="AB25" s="1892"/>
      <c r="AC25" s="1892"/>
      <c r="AD25" s="1892"/>
      <c r="AE25" s="1892"/>
      <c r="AF25" s="1892"/>
      <c r="AG25" s="1892"/>
      <c r="AH25" s="1892"/>
      <c r="AI25" s="1892"/>
      <c r="AJ25" s="1892"/>
      <c r="AK25" s="1892"/>
      <c r="AL25" s="1892"/>
      <c r="AM25" s="1892"/>
      <c r="AN25" s="1892"/>
      <c r="AO25" s="1892"/>
      <c r="AP25" s="1892"/>
      <c r="AQ25" s="1892"/>
      <c r="AR25" s="2093">
        <v>0</v>
      </c>
    </row>
    <row s="34794" customFormat="1" customHeight="1" ht="17.25" hidden="1">
      <c r="A26" s="947"/>
      <c r="C26" s="946"/>
      <c r="D26" s="2762"/>
      <c r="E26" s="2770"/>
      <c r="F26" s="2772"/>
      <c r="G26" s="2770"/>
      <c r="H26" s="2775"/>
      <c r="I26" s="2777"/>
      <c r="J26" s="2780"/>
      <c r="K26" s="2764"/>
      <c r="L26" s="2629"/>
      <c r="M26" s="2629"/>
      <c r="N26" s="2629"/>
      <c r="O26" s="2629"/>
      <c r="P26" s="2629"/>
      <c r="Q26" s="2629"/>
      <c r="R26" s="2629"/>
      <c r="S26" s="955"/>
      <c r="T26" s="955"/>
      <c r="U26" s="955"/>
      <c r="V26" s="955"/>
      <c r="W26" s="2630"/>
      <c r="X26" s="1892"/>
      <c r="Y26" s="1892"/>
      <c r="Z26" s="1892"/>
      <c r="AA26" s="1892"/>
      <c r="AB26" s="1892"/>
      <c r="AC26" s="1892"/>
      <c r="AD26" s="1892"/>
      <c r="AE26" s="1892"/>
      <c r="AF26" s="1892"/>
      <c r="AG26" s="1892"/>
      <c r="AH26" s="1892"/>
      <c r="AI26" s="1892"/>
      <c r="AJ26" s="1892"/>
      <c r="AK26" s="1892"/>
      <c r="AL26" s="1892"/>
      <c r="AM26" s="1892"/>
      <c r="AN26" s="1892"/>
      <c r="AO26" s="1892"/>
      <c r="AP26" s="1892"/>
      <c r="AQ26" s="1892"/>
      <c r="AR26" s="2093">
        <v>0</v>
      </c>
    </row>
    <row s="34794" customFormat="1" customHeight="1" ht="17.25" hidden="1">
      <c r="A27" s="947"/>
      <c r="C27" s="946"/>
      <c r="D27" s="2762"/>
      <c r="E27" s="2770"/>
      <c r="F27" s="2773"/>
      <c r="G27" s="2770"/>
      <c r="H27" s="1925"/>
      <c r="I27" s="2627"/>
      <c r="J27" s="2627"/>
      <c r="K27" s="2627"/>
      <c r="L27" s="2627"/>
      <c r="M27" s="2627"/>
      <c r="N27" s="2627"/>
      <c r="O27" s="2627"/>
      <c r="P27" s="2627"/>
      <c r="Q27" s="2627"/>
      <c r="R27" s="2627"/>
      <c r="S27" s="1927"/>
      <c r="T27" s="1927"/>
      <c r="U27" s="1927"/>
      <c r="V27" s="1927"/>
      <c r="W27" s="2628"/>
      <c r="X27" s="1892"/>
      <c r="Y27" s="1892"/>
      <c r="Z27" s="1892"/>
      <c r="AA27" s="1892"/>
      <c r="AB27" s="1892"/>
      <c r="AC27" s="1892"/>
      <c r="AD27" s="1892"/>
      <c r="AE27" s="1892"/>
      <c r="AF27" s="1892"/>
      <c r="AG27" s="1892"/>
      <c r="AH27" s="1892"/>
      <c r="AI27" s="1892"/>
      <c r="AJ27" s="1892"/>
      <c r="AK27" s="1892"/>
      <c r="AL27" s="1892"/>
      <c r="AM27" s="1892"/>
      <c r="AN27" s="1892"/>
      <c r="AO27" s="1892"/>
      <c r="AP27" s="1892"/>
      <c r="AQ27" s="1892"/>
      <c r="AR27" s="2093">
        <v>0</v>
      </c>
    </row>
    <row s="34794" customFormat="1" customHeight="1" ht="17.25" hidden="1">
      <c r="A28" s="947"/>
      <c r="C28" s="835"/>
      <c r="D28" s="2761">
        <v>3</v>
      </c>
      <c r="E28" s="2769" t="s">
        <v>186</v>
      </c>
      <c r="F28" s="2771" t="s">
        <v>19</v>
      </c>
      <c r="G28" s="2769"/>
      <c r="H28" s="2774"/>
      <c r="I28" s="2776"/>
      <c r="J28" s="2778"/>
      <c r="K28" s="2763"/>
      <c r="L28" s="2763"/>
      <c r="M28" s="2763"/>
      <c r="N28" s="2765"/>
      <c r="O28" s="2763"/>
      <c r="P28" s="2763"/>
      <c r="Q28" s="2763"/>
      <c r="R28" s="2768"/>
      <c r="S28" s="2763"/>
      <c r="T28" s="2046"/>
      <c r="U28" s="2046"/>
      <c r="V28" s="2045"/>
      <c r="W28" s="1922"/>
      <c r="X28" s="1893"/>
      <c r="Y28" s="1893"/>
      <c r="Z28" s="1893"/>
      <c r="AA28" s="1893"/>
      <c r="AB28" s="1893"/>
      <c r="AC28" s="1893" t="s">
        <v>187</v>
      </c>
      <c r="AD28" s="1893" t="s">
        <v>188</v>
      </c>
      <c r="AE28" s="1893" t="s">
        <v>189</v>
      </c>
      <c r="AF28" s="1893" t="s">
        <v>190</v>
      </c>
      <c r="AG28" s="1893" t="s">
        <v>191</v>
      </c>
      <c r="AH28" s="1893" t="str">
        <f>IF($E$28=0,"",$E$28)</f>
        <v>Тарифы на теплоноситель, поставляемый теплоснабжающими организациями потребителям, другим теплоснабжающим организациям</v>
      </c>
      <c r="AI28" s="1893" t="str">
        <f>IF($G$28=0,"",$G$28)</f>
        <v/>
      </c>
      <c r="AJ28" s="1893" t="str">
        <f>IF($J$28=0,"",$J$28)</f>
        <v/>
      </c>
      <c r="AK28" s="1893" t="str">
        <f>IF($K$28="нет","без дифференциации",IF($N$28=0,"",$N$28))</f>
        <v/>
      </c>
      <c r="AL28" s="1893" t="str">
        <f>IF($O$28="нет","без дифференциации",IF($R$28=0,"",$R$28))</f>
        <v/>
      </c>
      <c r="AM28" s="1893" t="str">
        <f>IF($S$28="нет","без дифференциации",IF($V$28=0,"",$V$28))</f>
        <v/>
      </c>
      <c r="AN28" s="2398">
        <f>$I$28</f>
        <v>0</v>
      </c>
      <c r="AO28" s="1893" t="str">
        <f>$I$28&amp;"."&amp;$M$28</f>
        <v>.</v>
      </c>
      <c r="AP28" s="1885" t="str">
        <f>$I$28&amp;"."&amp;$M$28&amp;"."&amp;$Q$28</f>
        <v>..</v>
      </c>
      <c r="AQ28" s="1885" t="str">
        <f>$I$28&amp;"."&amp;$M$28&amp;"."&amp;$Q$28&amp;"."&amp;$U$28</f>
        <v>...</v>
      </c>
      <c r="AR28" s="1909">
        <v>0</v>
      </c>
    </row>
    <row s="34794" customFormat="1" customHeight="1" ht="17.25" hidden="1">
      <c r="A29" s="947"/>
      <c r="C29" s="946"/>
      <c r="D29" s="2761"/>
      <c r="E29" s="2769"/>
      <c r="F29" s="2772"/>
      <c r="G29" s="2769"/>
      <c r="H29" s="2775"/>
      <c r="I29" s="2777"/>
      <c r="J29" s="2779"/>
      <c r="K29" s="2764"/>
      <c r="L29" s="2764"/>
      <c r="M29" s="2764"/>
      <c r="N29" s="2766"/>
      <c r="O29" s="2764"/>
      <c r="P29" s="2764"/>
      <c r="Q29" s="2764"/>
      <c r="R29" s="2767"/>
      <c r="S29" s="2764"/>
      <c r="T29" s="1923"/>
      <c r="U29" s="1923"/>
      <c r="V29" s="1923"/>
      <c r="W29" s="1924"/>
      <c r="X29" s="1885"/>
      <c r="Y29" s="1885"/>
      <c r="Z29" s="1885"/>
      <c r="AA29" s="1885"/>
      <c r="AB29" s="1885"/>
      <c r="AC29" s="1885"/>
      <c r="AD29" s="1885"/>
      <c r="AE29" s="1885"/>
      <c r="AF29" s="1885"/>
      <c r="AG29" s="1885"/>
      <c r="AH29" s="1885"/>
      <c r="AI29" s="1885"/>
      <c r="AJ29" s="1885"/>
      <c r="AK29" s="1885"/>
      <c r="AL29" s="1885"/>
      <c r="AM29" s="1885"/>
      <c r="AN29" s="1885"/>
      <c r="AO29" s="1885"/>
      <c r="AP29" s="1885"/>
      <c r="AQ29" s="1885"/>
      <c r="AR29" s="1909">
        <v>0</v>
      </c>
    </row>
    <row s="34794" customFormat="1" customHeight="1" ht="17.25" hidden="1">
      <c r="A30" s="947"/>
      <c r="C30" s="946"/>
      <c r="D30" s="2762"/>
      <c r="E30" s="2770"/>
      <c r="F30" s="2772"/>
      <c r="G30" s="2770"/>
      <c r="H30" s="2775"/>
      <c r="I30" s="2777"/>
      <c r="J30" s="2780"/>
      <c r="K30" s="2764"/>
      <c r="L30" s="2764"/>
      <c r="M30" s="2764"/>
      <c r="N30" s="2767"/>
      <c r="O30" s="2764"/>
      <c r="P30" s="2044"/>
      <c r="Q30" s="1923"/>
      <c r="R30" s="1923"/>
      <c r="S30" s="955"/>
      <c r="T30" s="955"/>
      <c r="U30" s="955"/>
      <c r="V30" s="955"/>
      <c r="W30" s="1924"/>
      <c r="X30" s="1885"/>
      <c r="Y30" s="1885"/>
      <c r="Z30" s="1885"/>
      <c r="AA30" s="1885"/>
      <c r="AB30" s="1885"/>
      <c r="AC30" s="1885"/>
      <c r="AD30" s="1885"/>
      <c r="AE30" s="1885"/>
      <c r="AF30" s="1885"/>
      <c r="AG30" s="1885"/>
      <c r="AH30" s="1885"/>
      <c r="AI30" s="1885"/>
      <c r="AJ30" s="1885"/>
      <c r="AK30" s="1885"/>
      <c r="AL30" s="1885"/>
      <c r="AM30" s="1885"/>
      <c r="AN30" s="1885"/>
      <c r="AO30" s="1885"/>
      <c r="AP30" s="1885"/>
      <c r="AQ30" s="1885"/>
      <c r="AR30" s="1909">
        <v>0</v>
      </c>
    </row>
    <row s="34794" customFormat="1" customHeight="1" ht="17.25" hidden="1">
      <c r="A31" s="947"/>
      <c r="C31" s="946"/>
      <c r="D31" s="2762"/>
      <c r="E31" s="2770"/>
      <c r="F31" s="2772"/>
      <c r="G31" s="2770"/>
      <c r="H31" s="2775"/>
      <c r="I31" s="2777"/>
      <c r="J31" s="2780"/>
      <c r="K31" s="2764"/>
      <c r="L31" s="1923"/>
      <c r="M31" s="1923"/>
      <c r="N31" s="1923"/>
      <c r="O31" s="1923"/>
      <c r="P31" s="1923"/>
      <c r="Q31" s="1923"/>
      <c r="R31" s="1923"/>
      <c r="S31" s="955"/>
      <c r="T31" s="955"/>
      <c r="U31" s="955"/>
      <c r="V31" s="955"/>
      <c r="W31" s="1924"/>
      <c r="X31" s="1885"/>
      <c r="Y31" s="1885"/>
      <c r="Z31" s="1885"/>
      <c r="AA31" s="1885"/>
      <c r="AB31" s="1885"/>
      <c r="AC31" s="1885"/>
      <c r="AD31" s="1885"/>
      <c r="AE31" s="1885"/>
      <c r="AF31" s="1885"/>
      <c r="AG31" s="1885"/>
      <c r="AH31" s="1885"/>
      <c r="AI31" s="1885"/>
      <c r="AJ31" s="1885"/>
      <c r="AK31" s="1885"/>
      <c r="AL31" s="1885"/>
      <c r="AM31" s="1885"/>
      <c r="AN31" s="1885"/>
      <c r="AO31" s="1885"/>
      <c r="AP31" s="1885"/>
      <c r="AQ31" s="1885"/>
      <c r="AR31" s="1909">
        <v>0</v>
      </c>
    </row>
    <row s="34794" customFormat="1" customHeight="1" ht="17.25" hidden="1">
      <c r="A32" s="947"/>
      <c r="C32" s="946"/>
      <c r="D32" s="2762"/>
      <c r="E32" s="2770"/>
      <c r="F32" s="2773"/>
      <c r="G32" s="2770"/>
      <c r="H32" s="1925"/>
      <c r="I32" s="1926"/>
      <c r="J32" s="1926"/>
      <c r="K32" s="1926"/>
      <c r="L32" s="1926"/>
      <c r="M32" s="1926"/>
      <c r="N32" s="1926"/>
      <c r="O32" s="1926"/>
      <c r="P32" s="1926"/>
      <c r="Q32" s="1926"/>
      <c r="R32" s="1926"/>
      <c r="S32" s="1927"/>
      <c r="T32" s="1927"/>
      <c r="U32" s="1927"/>
      <c r="V32" s="1927"/>
      <c r="W32" s="1928"/>
      <c r="X32" s="1885"/>
      <c r="Y32" s="1885"/>
      <c r="Z32" s="1885"/>
      <c r="AA32" s="1885"/>
      <c r="AB32" s="1885"/>
      <c r="AC32" s="1885"/>
      <c r="AD32" s="1885"/>
      <c r="AE32" s="1885"/>
      <c r="AF32" s="1885"/>
      <c r="AG32" s="1885"/>
      <c r="AH32" s="1885"/>
      <c r="AI32" s="1885"/>
      <c r="AJ32" s="1885"/>
      <c r="AK32" s="1885"/>
      <c r="AL32" s="1885"/>
      <c r="AM32" s="1885"/>
      <c r="AN32" s="1885"/>
      <c r="AO32" s="1885"/>
      <c r="AP32" s="1885"/>
      <c r="AQ32" s="1885"/>
      <c r="AR32" s="1909">
        <v>0</v>
      </c>
    </row>
    <row s="34794" customFormat="1" customHeight="1" ht="17.25" hidden="1">
      <c r="A33" s="947"/>
      <c r="C33" s="835"/>
      <c r="D33" s="2761">
        <v>4</v>
      </c>
      <c r="E33" s="2769" t="s">
        <v>192</v>
      </c>
      <c r="F33" s="2771" t="s">
        <v>19</v>
      </c>
      <c r="G33" s="2769"/>
      <c r="H33" s="2774"/>
      <c r="I33" s="2776"/>
      <c r="J33" s="2778"/>
      <c r="K33" s="2763"/>
      <c r="L33" s="2763"/>
      <c r="M33" s="2763"/>
      <c r="N33" s="2765"/>
      <c r="O33" s="2763"/>
      <c r="P33" s="2763"/>
      <c r="Q33" s="2763"/>
      <c r="R33" s="2768"/>
      <c r="S33" s="2763"/>
      <c r="T33" s="2046"/>
      <c r="U33" s="2046"/>
      <c r="V33" s="2045"/>
      <c r="W33" s="1922"/>
      <c r="X33" s="1893"/>
      <c r="Y33" s="1893"/>
      <c r="Z33" s="1893"/>
      <c r="AA33" s="1893"/>
      <c r="AB33" s="1893"/>
      <c r="AC33" s="1893" t="s">
        <v>193</v>
      </c>
      <c r="AD33" s="1893" t="s">
        <v>194</v>
      </c>
      <c r="AE33" s="1893" t="s">
        <v>195</v>
      </c>
      <c r="AF33" s="1893" t="s">
        <v>196</v>
      </c>
      <c r="AG33" s="1893" t="s">
        <v>197</v>
      </c>
      <c r="AH33" s="18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893" t="str">
        <f>IF($G$33=0,"",$G$33)</f>
        <v/>
      </c>
      <c r="AJ33" s="1893" t="str">
        <f>IF($J$33=0,"",$J$33)</f>
        <v/>
      </c>
      <c r="AK33" s="1893" t="str">
        <f>IF($K$33="нет","без дифференциации",IF($N$33=0,"",$N$33))</f>
        <v/>
      </c>
      <c r="AL33" s="1893" t="str">
        <f>IF($O$33="нет","без дифференциации",IF($R$33=0,"",$R$33))</f>
        <v/>
      </c>
      <c r="AM33" s="1893" t="str">
        <f>IF($S$33="нет","без дифференциации",IF($V$33=0,"",$V$33))</f>
        <v/>
      </c>
      <c r="AN33" s="2398">
        <f>$I$33</f>
        <v>0</v>
      </c>
      <c r="AO33" s="1893" t="str">
        <f>$I$33&amp;"."&amp;$M$33</f>
        <v>.</v>
      </c>
      <c r="AP33" s="1885" t="str">
        <f>$I$33&amp;"."&amp;$M$33&amp;"."&amp;$Q$33</f>
        <v>..</v>
      </c>
      <c r="AQ33" s="1885" t="str">
        <f>$I$33&amp;"."&amp;$M$33&amp;"."&amp;$Q$33&amp;"."&amp;$U$33</f>
        <v>...</v>
      </c>
      <c r="AR33" s="1909">
        <v>0</v>
      </c>
    </row>
    <row s="34794" customFormat="1" customHeight="1" ht="17.25" hidden="1">
      <c r="A34" s="947"/>
      <c r="C34" s="946"/>
      <c r="D34" s="2761"/>
      <c r="E34" s="2769"/>
      <c r="F34" s="2772"/>
      <c r="G34" s="2769"/>
      <c r="H34" s="2775"/>
      <c r="I34" s="2777"/>
      <c r="J34" s="2779"/>
      <c r="K34" s="2764"/>
      <c r="L34" s="2764"/>
      <c r="M34" s="2764"/>
      <c r="N34" s="2766"/>
      <c r="O34" s="2764"/>
      <c r="P34" s="2764"/>
      <c r="Q34" s="2764"/>
      <c r="R34" s="2767"/>
      <c r="S34" s="2764"/>
      <c r="T34" s="1923"/>
      <c r="U34" s="1923"/>
      <c r="V34" s="1923"/>
      <c r="W34" s="1924"/>
      <c r="X34" s="1885"/>
      <c r="Y34" s="1885"/>
      <c r="Z34" s="1885"/>
      <c r="AA34" s="1885"/>
      <c r="AB34" s="1885"/>
      <c r="AC34" s="1885"/>
      <c r="AD34" s="1885"/>
      <c r="AE34" s="1885"/>
      <c r="AF34" s="1885"/>
      <c r="AG34" s="1885"/>
      <c r="AH34" s="1885"/>
      <c r="AI34" s="1885"/>
      <c r="AJ34" s="1885"/>
      <c r="AK34" s="1885"/>
      <c r="AL34" s="1885"/>
      <c r="AM34" s="1885"/>
      <c r="AN34" s="1885"/>
      <c r="AO34" s="1885"/>
      <c r="AP34" s="1885"/>
      <c r="AQ34" s="1885"/>
      <c r="AR34" s="1909">
        <v>0</v>
      </c>
    </row>
    <row s="34794" customFormat="1" customHeight="1" ht="17.25" hidden="1">
      <c r="A35" s="947"/>
      <c r="C35" s="946"/>
      <c r="D35" s="2762"/>
      <c r="E35" s="2770"/>
      <c r="F35" s="2772"/>
      <c r="G35" s="2770"/>
      <c r="H35" s="2775"/>
      <c r="I35" s="2777"/>
      <c r="J35" s="2780"/>
      <c r="K35" s="2764"/>
      <c r="L35" s="2764"/>
      <c r="M35" s="2764"/>
      <c r="N35" s="2767"/>
      <c r="O35" s="2764"/>
      <c r="P35" s="2044"/>
      <c r="Q35" s="1923"/>
      <c r="R35" s="1923"/>
      <c r="S35" s="955"/>
      <c r="T35" s="955"/>
      <c r="U35" s="955"/>
      <c r="V35" s="955"/>
      <c r="W35" s="1924"/>
      <c r="X35" s="1885"/>
      <c r="Y35" s="1885"/>
      <c r="Z35" s="1885"/>
      <c r="AA35" s="1885"/>
      <c r="AB35" s="1885"/>
      <c r="AC35" s="1885"/>
      <c r="AD35" s="1885"/>
      <c r="AE35" s="1885"/>
      <c r="AF35" s="1885"/>
      <c r="AG35" s="1885"/>
      <c r="AH35" s="1885"/>
      <c r="AI35" s="1885"/>
      <c r="AJ35" s="1885"/>
      <c r="AK35" s="1885"/>
      <c r="AL35" s="1885"/>
      <c r="AM35" s="1885"/>
      <c r="AN35" s="1885"/>
      <c r="AO35" s="1885"/>
      <c r="AP35" s="1885"/>
      <c r="AQ35" s="1885"/>
      <c r="AR35" s="1909">
        <v>0</v>
      </c>
    </row>
    <row s="34794" customFormat="1" customHeight="1" ht="17.25" hidden="1">
      <c r="A36" s="947"/>
      <c r="C36" s="946"/>
      <c r="D36" s="2762"/>
      <c r="E36" s="2770"/>
      <c r="F36" s="2772"/>
      <c r="G36" s="2770"/>
      <c r="H36" s="2775"/>
      <c r="I36" s="2777"/>
      <c r="J36" s="2780"/>
      <c r="K36" s="2764"/>
      <c r="L36" s="1923"/>
      <c r="M36" s="1923"/>
      <c r="N36" s="1923"/>
      <c r="O36" s="1923"/>
      <c r="P36" s="1923"/>
      <c r="Q36" s="1923"/>
      <c r="R36" s="1923"/>
      <c r="S36" s="955"/>
      <c r="T36" s="955"/>
      <c r="U36" s="955"/>
      <c r="V36" s="955"/>
      <c r="W36" s="1924"/>
      <c r="X36" s="1885"/>
      <c r="Y36" s="1885"/>
      <c r="Z36" s="1885"/>
      <c r="AA36" s="1885"/>
      <c r="AB36" s="1885"/>
      <c r="AC36" s="1885"/>
      <c r="AD36" s="1885"/>
      <c r="AE36" s="1885"/>
      <c r="AF36" s="1885"/>
      <c r="AG36" s="1885"/>
      <c r="AH36" s="1885"/>
      <c r="AI36" s="1885"/>
      <c r="AJ36" s="1885"/>
      <c r="AK36" s="1885"/>
      <c r="AL36" s="1885"/>
      <c r="AM36" s="1885"/>
      <c r="AN36" s="1885"/>
      <c r="AO36" s="1885"/>
      <c r="AP36" s="1885"/>
      <c r="AQ36" s="1885"/>
      <c r="AR36" s="1909">
        <v>0</v>
      </c>
    </row>
    <row s="34794" customFormat="1" customHeight="1" ht="17.25" hidden="1">
      <c r="A37" s="947"/>
      <c r="C37" s="946"/>
      <c r="D37" s="2762"/>
      <c r="E37" s="2770"/>
      <c r="F37" s="2773"/>
      <c r="G37" s="2770"/>
      <c r="H37" s="1925"/>
      <c r="I37" s="1926"/>
      <c r="J37" s="1926"/>
      <c r="K37" s="1926"/>
      <c r="L37" s="1926"/>
      <c r="M37" s="1926"/>
      <c r="N37" s="1926"/>
      <c r="O37" s="1926"/>
      <c r="P37" s="1926"/>
      <c r="Q37" s="1926"/>
      <c r="R37" s="1926"/>
      <c r="S37" s="1927"/>
      <c r="T37" s="1927"/>
      <c r="U37" s="1927"/>
      <c r="V37" s="1927"/>
      <c r="W37" s="1928"/>
      <c r="X37" s="1885"/>
      <c r="Y37" s="1885"/>
      <c r="Z37" s="1885"/>
      <c r="AA37" s="1885"/>
      <c r="AB37" s="1885"/>
      <c r="AC37" s="1885"/>
      <c r="AD37" s="1885"/>
      <c r="AE37" s="1885"/>
      <c r="AF37" s="1885"/>
      <c r="AG37" s="1885"/>
      <c r="AH37" s="1885"/>
      <c r="AI37" s="1885"/>
      <c r="AJ37" s="1885"/>
      <c r="AK37" s="1885"/>
      <c r="AL37" s="1885"/>
      <c r="AM37" s="1885"/>
      <c r="AN37" s="1885"/>
      <c r="AO37" s="1885"/>
      <c r="AP37" s="1885"/>
      <c r="AQ37" s="1885"/>
      <c r="AR37" s="1909">
        <v>0</v>
      </c>
    </row>
    <row s="34794" customFormat="1" customHeight="1" ht="17.25" hidden="1">
      <c r="A38" s="947"/>
      <c r="C38" s="835"/>
      <c r="D38" s="2761">
        <v>5</v>
      </c>
      <c r="E38" s="2769" t="s">
        <v>198</v>
      </c>
      <c r="F38" s="2771" t="s">
        <v>19</v>
      </c>
      <c r="G38" s="2769"/>
      <c r="H38" s="2774"/>
      <c r="I38" s="2776"/>
      <c r="J38" s="2778"/>
      <c r="K38" s="2763"/>
      <c r="L38" s="2763"/>
      <c r="M38" s="2763"/>
      <c r="N38" s="2765"/>
      <c r="O38" s="2763"/>
      <c r="P38" s="2763"/>
      <c r="Q38" s="2763"/>
      <c r="R38" s="2768"/>
      <c r="S38" s="2763"/>
      <c r="T38" s="2046"/>
      <c r="U38" s="2046"/>
      <c r="V38" s="2045"/>
      <c r="W38" s="1922"/>
      <c r="X38" s="1893"/>
      <c r="Y38" s="1893"/>
      <c r="Z38" s="1893"/>
      <c r="AA38" s="1893"/>
      <c r="AB38" s="1893"/>
      <c r="AC38" s="1893" t="s">
        <v>199</v>
      </c>
      <c r="AD38" s="1893" t="s">
        <v>200</v>
      </c>
      <c r="AE38" s="1893" t="s">
        <v>201</v>
      </c>
      <c r="AF38" s="1893" t="s">
        <v>202</v>
      </c>
      <c r="AG38" s="1893" t="s">
        <v>203</v>
      </c>
      <c r="AH38" s="1893" t="str">
        <f>IF($E$38=0,"",$E$38)</f>
        <v>Тарифы на услуги по передаче тепловой энергии</v>
      </c>
      <c r="AI38" s="1893" t="str">
        <f>IF($G$38=0,"",$G$38)</f>
        <v/>
      </c>
      <c r="AJ38" s="1893" t="str">
        <f>IF($J$38=0,"",$J$38)</f>
        <v/>
      </c>
      <c r="AK38" s="1893" t="str">
        <f>IF($K$38="нет","без дифференциации",IF($N$38=0,"",$N$38))</f>
        <v/>
      </c>
      <c r="AL38" s="1893" t="str">
        <f>IF($O$38="нет","без дифференциации",IF($R$38=0,"",$R$38))</f>
        <v/>
      </c>
      <c r="AM38" s="1893" t="str">
        <f>IF($S$38="нет","без дифференциации",IF($V$38=0,"",$V$38))</f>
        <v/>
      </c>
      <c r="AN38" s="2398">
        <f>$I$38</f>
        <v>0</v>
      </c>
      <c r="AO38" s="1893" t="str">
        <f>$I$38&amp;"."&amp;$M$38</f>
        <v>.</v>
      </c>
      <c r="AP38" s="1885" t="str">
        <f>$I$38&amp;"."&amp;$M$38&amp;"."&amp;$Q$38</f>
        <v>..</v>
      </c>
      <c r="AQ38" s="1885" t="str">
        <f>$I$38&amp;"."&amp;$M$38&amp;"."&amp;$Q$38&amp;"."&amp;$U$38</f>
        <v>...</v>
      </c>
      <c r="AR38" s="1909">
        <v>0</v>
      </c>
    </row>
    <row s="34794" customFormat="1" customHeight="1" ht="17.25" hidden="1">
      <c r="A39" s="947"/>
      <c r="C39" s="946"/>
      <c r="D39" s="2761"/>
      <c r="E39" s="2769"/>
      <c r="F39" s="2772"/>
      <c r="G39" s="2769"/>
      <c r="H39" s="2775"/>
      <c r="I39" s="2777"/>
      <c r="J39" s="2779"/>
      <c r="K39" s="2764"/>
      <c r="L39" s="2764"/>
      <c r="M39" s="2764"/>
      <c r="N39" s="2766"/>
      <c r="O39" s="2764"/>
      <c r="P39" s="2764"/>
      <c r="Q39" s="2764"/>
      <c r="R39" s="2767"/>
      <c r="S39" s="2764"/>
      <c r="T39" s="1923"/>
      <c r="U39" s="1923"/>
      <c r="V39" s="1923"/>
      <c r="W39" s="1924"/>
      <c r="X39" s="1885"/>
      <c r="Y39" s="1885"/>
      <c r="Z39" s="1885"/>
      <c r="AA39" s="1885"/>
      <c r="AB39" s="1885"/>
      <c r="AC39" s="1885"/>
      <c r="AD39" s="1885"/>
      <c r="AE39" s="1885"/>
      <c r="AF39" s="1885"/>
      <c r="AG39" s="1885"/>
      <c r="AH39" s="1885"/>
      <c r="AI39" s="1885"/>
      <c r="AJ39" s="1885"/>
      <c r="AK39" s="1885"/>
      <c r="AL39" s="1885"/>
      <c r="AM39" s="1885"/>
      <c r="AN39" s="1885"/>
      <c r="AO39" s="1885"/>
      <c r="AP39" s="1885"/>
      <c r="AQ39" s="1885"/>
      <c r="AR39" s="1909">
        <v>0</v>
      </c>
    </row>
    <row s="34794" customFormat="1" customHeight="1" ht="17.25" hidden="1">
      <c r="A40" s="947"/>
      <c r="C40" s="946"/>
      <c r="D40" s="2762"/>
      <c r="E40" s="2770"/>
      <c r="F40" s="2772"/>
      <c r="G40" s="2770"/>
      <c r="H40" s="2775"/>
      <c r="I40" s="2777"/>
      <c r="J40" s="2780"/>
      <c r="K40" s="2764"/>
      <c r="L40" s="2764"/>
      <c r="M40" s="2764"/>
      <c r="N40" s="2767"/>
      <c r="O40" s="2764"/>
      <c r="P40" s="2044"/>
      <c r="Q40" s="1923"/>
      <c r="R40" s="1923"/>
      <c r="S40" s="955"/>
      <c r="T40" s="955"/>
      <c r="U40" s="955"/>
      <c r="V40" s="955"/>
      <c r="W40" s="1924"/>
      <c r="X40" s="1885"/>
      <c r="Y40" s="1885"/>
      <c r="Z40" s="1885"/>
      <c r="AA40" s="1885"/>
      <c r="AB40" s="1885"/>
      <c r="AC40" s="1885"/>
      <c r="AD40" s="1885"/>
      <c r="AE40" s="1885"/>
      <c r="AF40" s="1885"/>
      <c r="AG40" s="1885"/>
      <c r="AH40" s="1885"/>
      <c r="AI40" s="1885"/>
      <c r="AJ40" s="1885"/>
      <c r="AK40" s="1885"/>
      <c r="AL40" s="1885"/>
      <c r="AM40" s="1885"/>
      <c r="AN40" s="1885"/>
      <c r="AO40" s="1885"/>
      <c r="AP40" s="1885"/>
      <c r="AQ40" s="1885"/>
      <c r="AR40" s="1909">
        <v>0</v>
      </c>
    </row>
    <row s="34794" customFormat="1" customHeight="1" ht="17.25" hidden="1">
      <c r="A41" s="947"/>
      <c r="C41" s="946"/>
      <c r="D41" s="2762"/>
      <c r="E41" s="2770"/>
      <c r="F41" s="2772"/>
      <c r="G41" s="2770"/>
      <c r="H41" s="2775"/>
      <c r="I41" s="2777"/>
      <c r="J41" s="2780"/>
      <c r="K41" s="2764"/>
      <c r="L41" s="1923"/>
      <c r="M41" s="1923"/>
      <c r="N41" s="1923"/>
      <c r="O41" s="1923"/>
      <c r="P41" s="1923"/>
      <c r="Q41" s="1923"/>
      <c r="R41" s="1923"/>
      <c r="S41" s="955"/>
      <c r="T41" s="955"/>
      <c r="U41" s="955"/>
      <c r="V41" s="955"/>
      <c r="W41" s="1924"/>
      <c r="X41" s="1885"/>
      <c r="Y41" s="1885"/>
      <c r="Z41" s="1885"/>
      <c r="AA41" s="1885"/>
      <c r="AB41" s="1885"/>
      <c r="AC41" s="1885"/>
      <c r="AD41" s="1885"/>
      <c r="AE41" s="1885"/>
      <c r="AF41" s="1885"/>
      <c r="AG41" s="1885"/>
      <c r="AH41" s="1885"/>
      <c r="AI41" s="1885"/>
      <c r="AJ41" s="1885"/>
      <c r="AK41" s="1885"/>
      <c r="AL41" s="1885"/>
      <c r="AM41" s="1885"/>
      <c r="AN41" s="1885"/>
      <c r="AO41" s="1885"/>
      <c r="AP41" s="1885"/>
      <c r="AQ41" s="1885"/>
      <c r="AR41" s="1909">
        <v>0</v>
      </c>
    </row>
    <row s="34794" customFormat="1" customHeight="1" ht="17.25" hidden="1">
      <c r="A42" s="947"/>
      <c r="C42" s="946"/>
      <c r="D42" s="2762"/>
      <c r="E42" s="2770"/>
      <c r="F42" s="2773"/>
      <c r="G42" s="2770"/>
      <c r="H42" s="1925"/>
      <c r="I42" s="1926"/>
      <c r="J42" s="1926"/>
      <c r="K42" s="1926"/>
      <c r="L42" s="1926"/>
      <c r="M42" s="1926"/>
      <c r="N42" s="1926"/>
      <c r="O42" s="1926"/>
      <c r="P42" s="1926"/>
      <c r="Q42" s="1926"/>
      <c r="R42" s="1926"/>
      <c r="S42" s="1927"/>
      <c r="T42" s="1927"/>
      <c r="U42" s="1927"/>
      <c r="V42" s="1927"/>
      <c r="W42" s="1928"/>
      <c r="X42" s="1885"/>
      <c r="Y42" s="1885"/>
      <c r="Z42" s="1885"/>
      <c r="AA42" s="1885"/>
      <c r="AB42" s="1885"/>
      <c r="AC42" s="1885"/>
      <c r="AD42" s="1885"/>
      <c r="AE42" s="1885"/>
      <c r="AF42" s="1885"/>
      <c r="AG42" s="1885"/>
      <c r="AH42" s="1885"/>
      <c r="AI42" s="1885"/>
      <c r="AJ42" s="1885"/>
      <c r="AK42" s="1885"/>
      <c r="AL42" s="1885"/>
      <c r="AM42" s="1885"/>
      <c r="AN42" s="1885"/>
      <c r="AO42" s="1885"/>
      <c r="AP42" s="1885"/>
      <c r="AQ42" s="1885"/>
      <c r="AR42" s="1909">
        <v>0</v>
      </c>
    </row>
    <row s="34794" customFormat="1" customHeight="1" ht="17.25" hidden="1">
      <c r="A43" s="947"/>
      <c r="C43" s="835"/>
      <c r="D43" s="2761">
        <v>6</v>
      </c>
      <c r="E43" s="2769" t="s">
        <v>204</v>
      </c>
      <c r="F43" s="2771" t="s">
        <v>19</v>
      </c>
      <c r="G43" s="2769"/>
      <c r="H43" s="2774"/>
      <c r="I43" s="2776"/>
      <c r="J43" s="2778"/>
      <c r="K43" s="2763"/>
      <c r="L43" s="2763"/>
      <c r="M43" s="2763"/>
      <c r="N43" s="2765"/>
      <c r="O43" s="2763"/>
      <c r="P43" s="2763"/>
      <c r="Q43" s="2763"/>
      <c r="R43" s="2768"/>
      <c r="S43" s="2763"/>
      <c r="T43" s="2046"/>
      <c r="U43" s="2046"/>
      <c r="V43" s="2045"/>
      <c r="W43" s="1922"/>
      <c r="X43" s="1893"/>
      <c r="Y43" s="1893"/>
      <c r="Z43" s="1893"/>
      <c r="AA43" s="1893"/>
      <c r="AB43" s="1893"/>
      <c r="AC43" s="1893" t="s">
        <v>205</v>
      </c>
      <c r="AD43" s="1893" t="s">
        <v>206</v>
      </c>
      <c r="AE43" s="1893" t="s">
        <v>207</v>
      </c>
      <c r="AF43" s="1893" t="s">
        <v>208</v>
      </c>
      <c r="AG43" s="1893" t="s">
        <v>209</v>
      </c>
      <c r="AH43" s="1893" t="str">
        <f>IF($E$43=0,"",$E$43)</f>
        <v>Тарифы на услуги по передаче теплоносителя</v>
      </c>
      <c r="AI43" s="1893" t="str">
        <f>IF($G$43=0,"",$G$43)</f>
        <v/>
      </c>
      <c r="AJ43" s="1893" t="str">
        <f>IF($J$43=0,"",$J$43)</f>
        <v/>
      </c>
      <c r="AK43" s="1893" t="str">
        <f>IF($K$43="нет","без дифференциации",IF($N$43=0,"",$N$43))</f>
        <v/>
      </c>
      <c r="AL43" s="1893" t="str">
        <f>IF($O$43="нет","без дифференциации",IF($R$43=0,"",$R$43))</f>
        <v/>
      </c>
      <c r="AM43" s="1893" t="str">
        <f>IF($S$43="нет","без дифференциации",IF($V$43=0,"",$V$43))</f>
        <v/>
      </c>
      <c r="AN43" s="2398">
        <f>$I$43</f>
        <v>0</v>
      </c>
      <c r="AO43" s="1893" t="str">
        <f>$I$43&amp;"."&amp;$M$43</f>
        <v>.</v>
      </c>
      <c r="AP43" s="1885" t="str">
        <f>$I$43&amp;"."&amp;$M$43&amp;"."&amp;$Q$43</f>
        <v>..</v>
      </c>
      <c r="AQ43" s="1885" t="str">
        <f>$I$43&amp;"."&amp;$M$43&amp;"."&amp;$Q$43&amp;"."&amp;$U$43</f>
        <v>...</v>
      </c>
      <c r="AR43" s="1909">
        <v>0</v>
      </c>
    </row>
    <row s="34794" customFormat="1" customHeight="1" ht="17.25" hidden="1">
      <c r="A44" s="947"/>
      <c r="C44" s="946"/>
      <c r="D44" s="2761"/>
      <c r="E44" s="2769"/>
      <c r="F44" s="2772"/>
      <c r="G44" s="2769"/>
      <c r="H44" s="2775"/>
      <c r="I44" s="2777"/>
      <c r="J44" s="2779"/>
      <c r="K44" s="2764"/>
      <c r="L44" s="2764"/>
      <c r="M44" s="2764"/>
      <c r="N44" s="2766"/>
      <c r="O44" s="2764"/>
      <c r="P44" s="2764"/>
      <c r="Q44" s="2764"/>
      <c r="R44" s="2767"/>
      <c r="S44" s="2764"/>
      <c r="T44" s="1923"/>
      <c r="U44" s="1923"/>
      <c r="V44" s="1923"/>
      <c r="W44" s="1924"/>
      <c r="X44" s="1885"/>
      <c r="Y44" s="1885"/>
      <c r="Z44" s="1885"/>
      <c r="AA44" s="1885"/>
      <c r="AB44" s="1885"/>
      <c r="AC44" s="1885"/>
      <c r="AD44" s="1885"/>
      <c r="AE44" s="1885"/>
      <c r="AF44" s="1885"/>
      <c r="AG44" s="1885"/>
      <c r="AH44" s="1885"/>
      <c r="AI44" s="1885"/>
      <c r="AJ44" s="1885"/>
      <c r="AK44" s="1885"/>
      <c r="AL44" s="1885"/>
      <c r="AM44" s="1885"/>
      <c r="AN44" s="1885"/>
      <c r="AO44" s="1885"/>
      <c r="AP44" s="1885"/>
      <c r="AQ44" s="1885"/>
      <c r="AR44" s="1909">
        <v>0</v>
      </c>
    </row>
    <row s="34794" customFormat="1" customHeight="1" ht="17.25" hidden="1">
      <c r="A45" s="947"/>
      <c r="C45" s="946"/>
      <c r="D45" s="2762"/>
      <c r="E45" s="2770"/>
      <c r="F45" s="2772"/>
      <c r="G45" s="2770"/>
      <c r="H45" s="2775"/>
      <c r="I45" s="2777"/>
      <c r="J45" s="2780"/>
      <c r="K45" s="2764"/>
      <c r="L45" s="2764"/>
      <c r="M45" s="2764"/>
      <c r="N45" s="2767"/>
      <c r="O45" s="2764"/>
      <c r="P45" s="2044"/>
      <c r="Q45" s="1923"/>
      <c r="R45" s="1923"/>
      <c r="S45" s="955"/>
      <c r="T45" s="955"/>
      <c r="U45" s="955"/>
      <c r="V45" s="955"/>
      <c r="W45" s="1924"/>
      <c r="X45" s="1885"/>
      <c r="Y45" s="1885"/>
      <c r="Z45" s="1885"/>
      <c r="AA45" s="1885"/>
      <c r="AB45" s="1885"/>
      <c r="AC45" s="1885"/>
      <c r="AD45" s="1885"/>
      <c r="AE45" s="1885"/>
      <c r="AF45" s="1885"/>
      <c r="AG45" s="1885"/>
      <c r="AH45" s="1885"/>
      <c r="AI45" s="1885"/>
      <c r="AJ45" s="1885"/>
      <c r="AK45" s="1885"/>
      <c r="AL45" s="1885"/>
      <c r="AM45" s="1885"/>
      <c r="AN45" s="1885"/>
      <c r="AO45" s="1885"/>
      <c r="AP45" s="1885"/>
      <c r="AQ45" s="1885"/>
      <c r="AR45" s="1909">
        <v>0</v>
      </c>
    </row>
    <row s="34794" customFormat="1" customHeight="1" ht="17.25" hidden="1">
      <c r="A46" s="947"/>
      <c r="C46" s="835"/>
      <c r="D46" s="2762"/>
      <c r="E46" s="2770"/>
      <c r="F46" s="2772"/>
      <c r="G46" s="2770"/>
      <c r="H46" s="2775"/>
      <c r="I46" s="2777"/>
      <c r="J46" s="2780"/>
      <c r="K46" s="2764"/>
      <c r="L46" s="1923"/>
      <c r="M46" s="1923"/>
      <c r="N46" s="1923"/>
      <c r="O46" s="1923"/>
      <c r="P46" s="1923"/>
      <c r="Q46" s="1923"/>
      <c r="R46" s="1923"/>
      <c r="S46" s="955"/>
      <c r="T46" s="955"/>
      <c r="U46" s="955"/>
      <c r="V46" s="955"/>
      <c r="W46" s="1924"/>
      <c r="Y46" s="1893"/>
      <c r="Z46" s="1893"/>
      <c r="AA46" s="1893"/>
      <c r="AB46" s="1893"/>
      <c r="AC46" s="1893"/>
      <c r="AD46" s="1893"/>
      <c r="AE46" s="1893"/>
      <c r="AF46" s="1893"/>
      <c r="AG46" s="1893"/>
      <c r="AH46" s="1893"/>
      <c r="AI46" s="1893"/>
      <c r="AJ46" s="1893"/>
      <c r="AK46" s="1893"/>
      <c r="AL46" s="1893"/>
      <c r="AM46" s="1893"/>
      <c r="AN46" s="1893"/>
      <c r="AO46" s="1893"/>
      <c r="AP46" s="1893"/>
      <c r="AQ46" s="1893"/>
      <c r="AR46" s="1952">
        <v>0</v>
      </c>
    </row>
    <row s="34794" customFormat="1" customHeight="1" ht="17.25" hidden="1">
      <c r="A47" s="947"/>
      <c r="C47" s="946"/>
      <c r="D47" s="2762"/>
      <c r="E47" s="2770"/>
      <c r="F47" s="2773"/>
      <c r="G47" s="2770"/>
      <c r="H47" s="1925"/>
      <c r="I47" s="1926"/>
      <c r="J47" s="1926"/>
      <c r="K47" s="1926"/>
      <c r="L47" s="1926"/>
      <c r="M47" s="1926"/>
      <c r="N47" s="1926"/>
      <c r="O47" s="1926"/>
      <c r="P47" s="1926"/>
      <c r="Q47" s="1926"/>
      <c r="R47" s="1926"/>
      <c r="S47" s="1927"/>
      <c r="T47" s="1927"/>
      <c r="U47" s="1927"/>
      <c r="V47" s="1927"/>
      <c r="W47" s="1928"/>
      <c r="X47" s="1885"/>
      <c r="Y47" s="1885"/>
      <c r="Z47" s="1885"/>
      <c r="AA47" s="1885"/>
      <c r="AB47" s="1885"/>
      <c r="AC47" s="1885"/>
      <c r="AD47" s="1885"/>
      <c r="AE47" s="1885"/>
      <c r="AF47" s="1885"/>
      <c r="AG47" s="1885"/>
      <c r="AH47" s="1885"/>
      <c r="AI47" s="1885"/>
      <c r="AJ47" s="1885"/>
      <c r="AK47" s="1885"/>
      <c r="AL47" s="1885"/>
      <c r="AM47" s="1885"/>
      <c r="AN47" s="1885"/>
      <c r="AO47" s="1885"/>
      <c r="AP47" s="1885"/>
      <c r="AQ47" s="1885"/>
      <c r="AR47" s="1909">
        <v>0</v>
      </c>
    </row>
    <row s="34794" customFormat="1" customHeight="1" ht="17.25" hidden="1">
      <c r="A48" s="947"/>
      <c r="C48" s="835"/>
      <c r="D48" s="2792">
        <v>7</v>
      </c>
      <c r="E48" s="2795" t="s">
        <v>210</v>
      </c>
      <c r="F48" s="2771" t="s">
        <v>19</v>
      </c>
      <c r="G48" s="2795"/>
      <c r="H48" s="2774"/>
      <c r="I48" s="2776"/>
      <c r="J48" s="2778"/>
      <c r="K48" s="2763"/>
      <c r="L48" s="2763"/>
      <c r="M48" s="2763"/>
      <c r="N48" s="2765"/>
      <c r="O48" s="2763"/>
      <c r="P48" s="2763"/>
      <c r="Q48" s="2763"/>
      <c r="R48" s="2768"/>
      <c r="S48" s="2763"/>
      <c r="T48" s="2046"/>
      <c r="U48" s="2046"/>
      <c r="V48" s="2045"/>
      <c r="W48" s="1922"/>
      <c r="X48" s="1893"/>
      <c r="Y48" s="1893"/>
      <c r="Z48" s="1893"/>
      <c r="AA48" s="1893"/>
      <c r="AB48" s="1893"/>
      <c r="AC48" s="1893" t="s">
        <v>211</v>
      </c>
      <c r="AD48" s="1893" t="s">
        <v>212</v>
      </c>
      <c r="AE48" s="1893" t="s">
        <v>213</v>
      </c>
      <c r="AF48" s="1893" t="s">
        <v>214</v>
      </c>
      <c r="AG48" s="1893" t="s">
        <v>215</v>
      </c>
      <c r="AH48" s="1893" t="str">
        <f>IF($E$48=0,"",$E$48)</f>
        <v>Плата за услуги по поддержанию резервной тепловой мощности при отсутствии потребления тепловой энергии</v>
      </c>
      <c r="AI48" s="1893" t="str">
        <f>IF($G$48=0,"",$G$48)</f>
        <v/>
      </c>
      <c r="AJ48" s="1893" t="str">
        <f>IF($J$48=0,"",$J$48)</f>
        <v/>
      </c>
      <c r="AK48" s="1893" t="str">
        <f>IF($K$48="нет","без дифференциации",IF($N$48=0,"",$N$48))</f>
        <v/>
      </c>
      <c r="AL48" s="1893" t="str">
        <f>IF($O$48="нет","без дифференциации",IF($R$48=0,"",$R$48))</f>
        <v/>
      </c>
      <c r="AM48" s="1893" t="str">
        <f>IF($S$48="нет","без дифференциации",IF($V$48=0,"",$V$48))</f>
        <v/>
      </c>
      <c r="AN48" s="2398">
        <f>$I$48</f>
        <v>0</v>
      </c>
      <c r="AO48" s="1893" t="str">
        <f>$I$48&amp;"."&amp;$M$48</f>
        <v>.</v>
      </c>
      <c r="AP48" s="1885" t="str">
        <f>$I$48&amp;"."&amp;$M$48&amp;"."&amp;$Q$48</f>
        <v>..</v>
      </c>
      <c r="AQ48" s="1885" t="str">
        <f>$I$48&amp;"."&amp;$M$48&amp;"."&amp;$Q$48&amp;"."&amp;$U$48</f>
        <v>...</v>
      </c>
      <c r="AR48" s="1934">
        <v>0</v>
      </c>
    </row>
    <row s="34794" customFormat="1" customHeight="1" ht="17.25" hidden="1">
      <c r="A49" s="947"/>
      <c r="C49" s="946"/>
      <c r="D49" s="2793"/>
      <c r="E49" s="2796"/>
      <c r="F49" s="2772"/>
      <c r="G49" s="2796"/>
      <c r="H49" s="2775"/>
      <c r="I49" s="2777"/>
      <c r="J49" s="2779"/>
      <c r="K49" s="2764"/>
      <c r="L49" s="2764"/>
      <c r="M49" s="2764"/>
      <c r="N49" s="2766"/>
      <c r="O49" s="2764"/>
      <c r="P49" s="2764"/>
      <c r="Q49" s="2764"/>
      <c r="R49" s="2767"/>
      <c r="S49" s="2764"/>
      <c r="T49" s="1923"/>
      <c r="U49" s="1923"/>
      <c r="V49" s="1923"/>
      <c r="W49" s="1924"/>
      <c r="X49" s="1885"/>
      <c r="Y49" s="1885"/>
      <c r="Z49" s="1885"/>
      <c r="AA49" s="1885"/>
      <c r="AB49" s="1885"/>
      <c r="AC49" s="1885"/>
      <c r="AD49" s="1885"/>
      <c r="AE49" s="1885"/>
      <c r="AF49" s="1885"/>
      <c r="AG49" s="1885"/>
      <c r="AH49" s="1885"/>
      <c r="AI49" s="1885"/>
      <c r="AJ49" s="1885"/>
      <c r="AK49" s="1885"/>
      <c r="AL49" s="1885"/>
      <c r="AM49" s="1885"/>
      <c r="AN49" s="1885"/>
      <c r="AO49" s="1885"/>
      <c r="AP49" s="1885"/>
      <c r="AQ49" s="1885"/>
      <c r="AR49" s="1934">
        <v>0</v>
      </c>
    </row>
    <row s="34794" customFormat="1" customHeight="1" ht="17.25" hidden="1">
      <c r="A50" s="947"/>
      <c r="C50" s="946"/>
      <c r="D50" s="2793"/>
      <c r="E50" s="2796"/>
      <c r="F50" s="2772"/>
      <c r="G50" s="2796"/>
      <c r="H50" s="2775"/>
      <c r="I50" s="2777"/>
      <c r="J50" s="2780"/>
      <c r="K50" s="2764"/>
      <c r="L50" s="2764"/>
      <c r="M50" s="2764"/>
      <c r="N50" s="2767"/>
      <c r="O50" s="2764"/>
      <c r="P50" s="2044"/>
      <c r="Q50" s="1923"/>
      <c r="R50" s="1923"/>
      <c r="S50" s="955"/>
      <c r="T50" s="955"/>
      <c r="U50" s="955"/>
      <c r="V50" s="955"/>
      <c r="W50" s="1924"/>
      <c r="X50" s="1885"/>
      <c r="Y50" s="1885"/>
      <c r="Z50" s="1885"/>
      <c r="AA50" s="1885"/>
      <c r="AB50" s="1885"/>
      <c r="AC50" s="1885"/>
      <c r="AD50" s="1885"/>
      <c r="AE50" s="1885"/>
      <c r="AF50" s="1885"/>
      <c r="AG50" s="1885"/>
      <c r="AH50" s="1885"/>
      <c r="AI50" s="1885"/>
      <c r="AJ50" s="1885"/>
      <c r="AK50" s="1885"/>
      <c r="AL50" s="1885"/>
      <c r="AM50" s="1885"/>
      <c r="AN50" s="1885"/>
      <c r="AO50" s="1885"/>
      <c r="AP50" s="1885"/>
      <c r="AQ50" s="1885"/>
      <c r="AR50" s="1934">
        <v>0</v>
      </c>
    </row>
    <row s="34794" customFormat="1" customHeight="1" ht="17.25" hidden="1">
      <c r="A51" s="947"/>
      <c r="C51" s="835"/>
      <c r="D51" s="2793"/>
      <c r="E51" s="2796"/>
      <c r="F51" s="2772"/>
      <c r="G51" s="2796"/>
      <c r="H51" s="2775"/>
      <c r="I51" s="2777"/>
      <c r="J51" s="2780"/>
      <c r="K51" s="2764"/>
      <c r="L51" s="1923"/>
      <c r="M51" s="1923"/>
      <c r="N51" s="1923"/>
      <c r="O51" s="1923"/>
      <c r="P51" s="1923"/>
      <c r="Q51" s="1923"/>
      <c r="R51" s="1923"/>
      <c r="S51" s="955"/>
      <c r="T51" s="955"/>
      <c r="U51" s="955"/>
      <c r="V51" s="955"/>
      <c r="W51" s="1924"/>
      <c r="Y51" s="1893"/>
      <c r="Z51" s="1893"/>
      <c r="AA51" s="1893"/>
      <c r="AB51" s="1893"/>
      <c r="AC51" s="1893"/>
      <c r="AD51" s="1893"/>
      <c r="AE51" s="1893"/>
      <c r="AF51" s="1893"/>
      <c r="AG51" s="1893"/>
      <c r="AH51" s="1893"/>
      <c r="AI51" s="1893"/>
      <c r="AJ51" s="1893"/>
      <c r="AK51" s="1893"/>
      <c r="AL51" s="1893"/>
      <c r="AM51" s="1893"/>
      <c r="AN51" s="1893"/>
      <c r="AO51" s="1893"/>
      <c r="AP51" s="1893"/>
      <c r="AQ51" s="1893"/>
      <c r="AR51" s="1952">
        <v>0</v>
      </c>
    </row>
    <row s="34794" customFormat="1" customHeight="1" ht="17.25" hidden="1">
      <c r="A52" s="947"/>
      <c r="C52" s="946"/>
      <c r="D52" s="2794"/>
      <c r="E52" s="2797"/>
      <c r="F52" s="2773"/>
      <c r="G52" s="2797"/>
      <c r="H52" s="1925"/>
      <c r="I52" s="1926"/>
      <c r="J52" s="1926"/>
      <c r="K52" s="1926"/>
      <c r="L52" s="1926"/>
      <c r="M52" s="1926"/>
      <c r="N52" s="1926"/>
      <c r="O52" s="1926"/>
      <c r="P52" s="1926"/>
      <c r="Q52" s="1926"/>
      <c r="R52" s="1926"/>
      <c r="S52" s="1927"/>
      <c r="T52" s="1927"/>
      <c r="U52" s="1927"/>
      <c r="V52" s="1927"/>
      <c r="W52" s="1928"/>
      <c r="X52" s="1885"/>
      <c r="Y52" s="1885"/>
      <c r="Z52" s="1885"/>
      <c r="AA52" s="1885"/>
      <c r="AB52" s="1885"/>
      <c r="AC52" s="1885"/>
      <c r="AD52" s="1885"/>
      <c r="AE52" s="1885"/>
      <c r="AF52" s="1885"/>
      <c r="AG52" s="1885"/>
      <c r="AH52" s="1885"/>
      <c r="AI52" s="1885"/>
      <c r="AJ52" s="1885"/>
      <c r="AK52" s="1885"/>
      <c r="AL52" s="1885"/>
      <c r="AM52" s="1885"/>
      <c r="AN52" s="1885"/>
      <c r="AO52" s="1885"/>
      <c r="AP52" s="1885"/>
      <c r="AQ52" s="1885"/>
      <c r="AR52" s="1934">
        <v>0</v>
      </c>
    </row>
    <row s="34794" customFormat="1" customHeight="1" ht="17.25" hidden="1">
      <c r="A53" s="947"/>
      <c r="C53" s="835"/>
      <c r="D53" s="2761">
        <v>8</v>
      </c>
      <c r="E53" s="2769" t="s">
        <v>216</v>
      </c>
      <c r="F53" s="2771" t="s">
        <v>19</v>
      </c>
      <c r="G53" s="2769"/>
      <c r="H53" s="2774"/>
      <c r="I53" s="2776"/>
      <c r="J53" s="2778"/>
      <c r="K53" s="2763"/>
      <c r="L53" s="2763"/>
      <c r="M53" s="2763"/>
      <c r="N53" s="2765"/>
      <c r="O53" s="2763"/>
      <c r="P53" s="2763"/>
      <c r="Q53" s="2763"/>
      <c r="R53" s="2768"/>
      <c r="S53" s="2763"/>
      <c r="T53" s="2096"/>
      <c r="U53" s="2096"/>
      <c r="V53" s="2098"/>
      <c r="W53" s="1922"/>
      <c r="X53" s="1893"/>
      <c r="Y53" s="1893"/>
      <c r="Z53" s="1893"/>
      <c r="AA53" s="1893"/>
      <c r="AB53" s="1893"/>
      <c r="AC53" s="1893" t="s">
        <v>217</v>
      </c>
      <c r="AD53" s="1893" t="s">
        <v>218</v>
      </c>
      <c r="AE53" s="1893" t="s">
        <v>219</v>
      </c>
      <c r="AF53" s="1893" t="s">
        <v>220</v>
      </c>
      <c r="AG53" s="1893" t="s">
        <v>221</v>
      </c>
      <c r="AH53" s="1893" t="str">
        <f>IF($E$53=0,"",$E$53)</f>
        <v>Плата за подключение (технологическое присоединение) к системе теплоснабжения</v>
      </c>
      <c r="AI53" s="1893" t="str">
        <f>IF($G$53=0,"",$G$53)</f>
        <v/>
      </c>
      <c r="AJ53" s="1893" t="str">
        <f>IF($J$53=0,"",$J$53)</f>
        <v/>
      </c>
      <c r="AK53" s="1893" t="str">
        <f>IF($K$53="нет","без дифференциации",IF($N$53=0,"",$N$53))</f>
        <v/>
      </c>
      <c r="AL53" s="1893" t="str">
        <f>IF($O$53="нет","без дифференциации",IF($R$53=0,"",$R$53))</f>
        <v/>
      </c>
      <c r="AM53" s="1893" t="str">
        <f>IF($S$53="нет","без дифференциации",IF($V$53=0,"",$V$53))</f>
        <v/>
      </c>
      <c r="AN53" s="2398">
        <f>$I$53</f>
        <v>0</v>
      </c>
      <c r="AO53" s="1893" t="str">
        <f>$I$53&amp;"."&amp;$M$53</f>
        <v>.</v>
      </c>
      <c r="AP53" s="1885" t="str">
        <f>$I$53&amp;"."&amp;$M$53&amp;"."&amp;$Q$53</f>
        <v>..</v>
      </c>
      <c r="AQ53" s="1885" t="str">
        <f>$I$53&amp;"."&amp;$M$53&amp;"."&amp;$Q$53&amp;"."&amp;$U$53</f>
        <v>...</v>
      </c>
      <c r="AR53" s="1934">
        <v>0</v>
      </c>
    </row>
    <row s="34794" customFormat="1" customHeight="1" ht="17.25" hidden="1">
      <c r="A54" s="947"/>
      <c r="C54" s="946"/>
      <c r="D54" s="2761"/>
      <c r="E54" s="2769"/>
      <c r="F54" s="2772"/>
      <c r="G54" s="2769"/>
      <c r="H54" s="2775"/>
      <c r="I54" s="2777"/>
      <c r="J54" s="2779"/>
      <c r="K54" s="2764"/>
      <c r="L54" s="2764"/>
      <c r="M54" s="2764"/>
      <c r="N54" s="2766"/>
      <c r="O54" s="2764"/>
      <c r="P54" s="2764"/>
      <c r="Q54" s="2764"/>
      <c r="R54" s="2767"/>
      <c r="S54" s="2764"/>
      <c r="T54" s="1923"/>
      <c r="U54" s="1923"/>
      <c r="V54" s="1923"/>
      <c r="W54" s="1924"/>
      <c r="X54" s="1885"/>
      <c r="Y54" s="1885"/>
      <c r="Z54" s="1885"/>
      <c r="AA54" s="1885"/>
      <c r="AB54" s="1885"/>
      <c r="AC54" s="1885"/>
      <c r="AD54" s="1885"/>
      <c r="AE54" s="1885"/>
      <c r="AF54" s="1885"/>
      <c r="AG54" s="1885"/>
      <c r="AH54" s="1885"/>
      <c r="AI54" s="1885"/>
      <c r="AJ54" s="1885"/>
      <c r="AK54" s="1885"/>
      <c r="AL54" s="1885"/>
      <c r="AM54" s="1885"/>
      <c r="AN54" s="1885"/>
      <c r="AO54" s="1885"/>
      <c r="AP54" s="1885"/>
      <c r="AQ54" s="1885"/>
      <c r="AR54" s="1934">
        <v>0</v>
      </c>
    </row>
    <row s="34794" customFormat="1" customHeight="1" ht="17.25" hidden="1">
      <c r="A55" s="947"/>
      <c r="C55" s="946"/>
      <c r="D55" s="2762"/>
      <c r="E55" s="2770"/>
      <c r="F55" s="2772"/>
      <c r="G55" s="2770"/>
      <c r="H55" s="2775"/>
      <c r="I55" s="2777"/>
      <c r="J55" s="2780"/>
      <c r="K55" s="2764"/>
      <c r="L55" s="2764"/>
      <c r="M55" s="2764"/>
      <c r="N55" s="2767"/>
      <c r="O55" s="2764"/>
      <c r="P55" s="2097"/>
      <c r="Q55" s="1923"/>
      <c r="R55" s="1923"/>
      <c r="S55" s="955"/>
      <c r="T55" s="955"/>
      <c r="U55" s="955"/>
      <c r="V55" s="955"/>
      <c r="W55" s="1924"/>
      <c r="X55" s="1885"/>
      <c r="Y55" s="1885"/>
      <c r="Z55" s="1885"/>
      <c r="AA55" s="1885"/>
      <c r="AB55" s="1885"/>
      <c r="AC55" s="1885"/>
      <c r="AD55" s="1885"/>
      <c r="AE55" s="1885"/>
      <c r="AF55" s="1885"/>
      <c r="AG55" s="1885"/>
      <c r="AH55" s="1885"/>
      <c r="AI55" s="1885"/>
      <c r="AJ55" s="1885"/>
      <c r="AK55" s="1885"/>
      <c r="AL55" s="1885"/>
      <c r="AM55" s="1885"/>
      <c r="AN55" s="1885"/>
      <c r="AO55" s="1885"/>
      <c r="AP55" s="1885"/>
      <c r="AQ55" s="1885"/>
      <c r="AR55" s="1934">
        <v>0</v>
      </c>
    </row>
    <row s="34794" customFormat="1" customHeight="1" ht="17.25" hidden="1">
      <c r="A56" s="947"/>
      <c r="C56" s="835"/>
      <c r="D56" s="2762"/>
      <c r="E56" s="2770"/>
      <c r="F56" s="2772"/>
      <c r="G56" s="2770"/>
      <c r="H56" s="2775"/>
      <c r="I56" s="2777"/>
      <c r="J56" s="2780"/>
      <c r="K56" s="2764"/>
      <c r="L56" s="1923"/>
      <c r="M56" s="1923"/>
      <c r="N56" s="1923"/>
      <c r="O56" s="1923"/>
      <c r="P56" s="1923"/>
      <c r="Q56" s="1923"/>
      <c r="R56" s="1923"/>
      <c r="S56" s="955"/>
      <c r="T56" s="955"/>
      <c r="U56" s="955"/>
      <c r="V56" s="955"/>
      <c r="W56" s="1924"/>
      <c r="Y56" s="1893"/>
      <c r="Z56" s="1893"/>
      <c r="AA56" s="1893"/>
      <c r="AB56" s="1893"/>
      <c r="AC56" s="1893"/>
      <c r="AD56" s="1893"/>
      <c r="AE56" s="1893"/>
      <c r="AF56" s="1893"/>
      <c r="AG56" s="1893"/>
      <c r="AH56" s="1893"/>
      <c r="AI56" s="1893"/>
      <c r="AJ56" s="1893"/>
      <c r="AK56" s="1893"/>
      <c r="AL56" s="1893"/>
      <c r="AM56" s="1893"/>
      <c r="AN56" s="1893"/>
      <c r="AO56" s="1893"/>
      <c r="AP56" s="1893"/>
      <c r="AQ56" s="1893"/>
      <c r="AR56" s="1952">
        <v>0</v>
      </c>
    </row>
    <row s="34794" customFormat="1" customHeight="1" ht="17.25" hidden="1">
      <c r="A57" s="947"/>
      <c r="C57" s="946"/>
      <c r="D57" s="2762"/>
      <c r="E57" s="2770"/>
      <c r="F57" s="2773"/>
      <c r="G57" s="2770"/>
      <c r="H57" s="1925"/>
      <c r="I57" s="1926"/>
      <c r="J57" s="1926"/>
      <c r="K57" s="1926"/>
      <c r="L57" s="1926"/>
      <c r="M57" s="1926"/>
      <c r="N57" s="1926"/>
      <c r="O57" s="1926"/>
      <c r="P57" s="1926"/>
      <c r="Q57" s="1926"/>
      <c r="R57" s="1926"/>
      <c r="S57" s="1927"/>
      <c r="T57" s="1927"/>
      <c r="U57" s="1927"/>
      <c r="V57" s="1927"/>
      <c r="W57" s="1928"/>
      <c r="X57" s="1885"/>
      <c r="Y57" s="1885"/>
      <c r="Z57" s="1885"/>
      <c r="AA57" s="1885"/>
      <c r="AB57" s="1885"/>
      <c r="AC57" s="1885"/>
      <c r="AD57" s="1885"/>
      <c r="AE57" s="1885"/>
      <c r="AF57" s="1885"/>
      <c r="AG57" s="1885"/>
      <c r="AH57" s="1885"/>
      <c r="AI57" s="1885"/>
      <c r="AJ57" s="1885"/>
      <c r="AK57" s="1885"/>
      <c r="AL57" s="1885"/>
      <c r="AM57" s="1885"/>
      <c r="AN57" s="1885"/>
      <c r="AO57" s="1885"/>
      <c r="AP57" s="1885"/>
      <c r="AQ57" s="1885"/>
      <c r="AR57" s="1934">
        <v>0</v>
      </c>
    </row>
    <row s="34794" customFormat="1" customHeight="1" ht="17.25" hidden="1">
      <c r="A58" s="947"/>
      <c r="C58" s="835"/>
      <c r="D58" s="2761">
        <v>9</v>
      </c>
      <c r="E58" s="2769" t="s">
        <v>222</v>
      </c>
      <c r="F58" s="2771" t="s">
        <v>19</v>
      </c>
      <c r="G58" s="2769"/>
      <c r="H58" s="2774"/>
      <c r="I58" s="2776"/>
      <c r="J58" s="2778"/>
      <c r="K58" s="2763"/>
      <c r="L58" s="2763"/>
      <c r="M58" s="2763"/>
      <c r="N58" s="2765"/>
      <c r="O58" s="2763"/>
      <c r="P58" s="2763"/>
      <c r="Q58" s="2763"/>
      <c r="R58" s="2768"/>
      <c r="S58" s="2763"/>
      <c r="T58" s="2557"/>
      <c r="U58" s="2557"/>
      <c r="V58" s="2559"/>
      <c r="W58" s="1922"/>
      <c r="X58" s="1893"/>
      <c r="Y58" s="1893"/>
      <c r="Z58" s="1893"/>
      <c r="AA58" s="1893"/>
      <c r="AB58" s="1893"/>
      <c r="AC58" s="1893" t="s">
        <v>223</v>
      </c>
      <c r="AD58" s="1893" t="s">
        <v>224</v>
      </c>
      <c r="AE58" s="1893" t="s">
        <v>225</v>
      </c>
      <c r="AF58" s="1893" t="s">
        <v>226</v>
      </c>
      <c r="AG58" s="1893" t="s">
        <v>227</v>
      </c>
      <c r="AH58" s="1893" t="str">
        <f>IF($E$58=0,"",$E$58)</f>
        <v>Плата за подключение (технологическое присоединение) к системе теплоснабжения (индивидуальная)</v>
      </c>
      <c r="AI58" s="1893" t="str">
        <f>IF($G$58=0,"",$G$58)</f>
        <v/>
      </c>
      <c r="AJ58" s="1893" t="str">
        <f>IF($J$58=0,"",$J$58)</f>
        <v/>
      </c>
      <c r="AK58" s="1893" t="str">
        <f>IF($K$58="нет","без дифференциации",IF($N$58=0,"",$N$58))</f>
        <v/>
      </c>
      <c r="AL58" s="1893" t="str">
        <f>IF($O$58="нет","без дифференциации",IF($R$58=0,"",$R$58))</f>
        <v/>
      </c>
      <c r="AM58" s="1893" t="str">
        <f>IF($S$58="нет","без дифференциации",IF($V$58=0,"",$V$58))</f>
        <v/>
      </c>
      <c r="AN58" s="2398">
        <f>$I$58</f>
        <v>0</v>
      </c>
      <c r="AO58" s="1893" t="str">
        <f>$I$58&amp;"."&amp;$M$58</f>
        <v>.</v>
      </c>
      <c r="AP58" s="1892" t="str">
        <f>$I$58&amp;"."&amp;$M$58&amp;"."&amp;$Q$58</f>
        <v>..</v>
      </c>
      <c r="AQ58" s="1892" t="str">
        <f>$I$58&amp;"."&amp;$M$58&amp;"."&amp;$Q$58&amp;"."&amp;$U$58</f>
        <v>...</v>
      </c>
      <c r="AR58" s="2093">
        <v>0</v>
      </c>
    </row>
    <row s="34794" customFormat="1" customHeight="1" ht="17.25" hidden="1">
      <c r="A59" s="947"/>
      <c r="C59" s="946"/>
      <c r="D59" s="2761"/>
      <c r="E59" s="2769"/>
      <c r="F59" s="2772"/>
      <c r="G59" s="2769"/>
      <c r="H59" s="2775"/>
      <c r="I59" s="2777"/>
      <c r="J59" s="2779"/>
      <c r="K59" s="2764"/>
      <c r="L59" s="2764"/>
      <c r="M59" s="2764"/>
      <c r="N59" s="2766"/>
      <c r="O59" s="2764"/>
      <c r="P59" s="2764"/>
      <c r="Q59" s="2764"/>
      <c r="R59" s="2767"/>
      <c r="S59" s="2764"/>
      <c r="T59" s="2560"/>
      <c r="U59" s="2560"/>
      <c r="V59" s="2560"/>
      <c r="W59" s="2561"/>
      <c r="X59" s="1892"/>
      <c r="Y59" s="1892"/>
      <c r="Z59" s="1892"/>
      <c r="AA59" s="1892"/>
      <c r="AB59" s="1892"/>
      <c r="AC59" s="1892"/>
      <c r="AD59" s="1892"/>
      <c r="AE59" s="1892"/>
      <c r="AF59" s="1892"/>
      <c r="AG59" s="1892"/>
      <c r="AH59" s="1892"/>
      <c r="AI59" s="1892"/>
      <c r="AJ59" s="1892"/>
      <c r="AK59" s="1892"/>
      <c r="AL59" s="1892"/>
      <c r="AM59" s="1892"/>
      <c r="AN59" s="1892"/>
      <c r="AO59" s="1892"/>
      <c r="AP59" s="1892"/>
      <c r="AQ59" s="1892"/>
      <c r="AR59" s="2093">
        <v>0</v>
      </c>
    </row>
    <row s="34794" customFormat="1" customHeight="1" ht="17.25" hidden="1">
      <c r="A60" s="947"/>
      <c r="C60" s="946"/>
      <c r="D60" s="2762"/>
      <c r="E60" s="2770"/>
      <c r="F60" s="2772"/>
      <c r="G60" s="2770"/>
      <c r="H60" s="2775"/>
      <c r="I60" s="2777"/>
      <c r="J60" s="2780"/>
      <c r="K60" s="2764"/>
      <c r="L60" s="2764"/>
      <c r="M60" s="2764"/>
      <c r="N60" s="2767"/>
      <c r="O60" s="2764"/>
      <c r="P60" s="2558"/>
      <c r="Q60" s="2560"/>
      <c r="R60" s="2560"/>
      <c r="S60" s="955"/>
      <c r="T60" s="955"/>
      <c r="U60" s="955"/>
      <c r="V60" s="955"/>
      <c r="W60" s="2561"/>
      <c r="X60" s="1892"/>
      <c r="Y60" s="1892"/>
      <c r="Z60" s="1892"/>
      <c r="AA60" s="1892"/>
      <c r="AB60" s="1892"/>
      <c r="AC60" s="1892"/>
      <c r="AD60" s="1892"/>
      <c r="AE60" s="1892"/>
      <c r="AF60" s="1892"/>
      <c r="AG60" s="1892"/>
      <c r="AH60" s="1892"/>
      <c r="AI60" s="1892"/>
      <c r="AJ60" s="1892"/>
      <c r="AK60" s="1892"/>
      <c r="AL60" s="1892"/>
      <c r="AM60" s="1892"/>
      <c r="AN60" s="1892"/>
      <c r="AO60" s="1892"/>
      <c r="AP60" s="1892"/>
      <c r="AQ60" s="1892"/>
      <c r="AR60" s="2093">
        <v>0</v>
      </c>
    </row>
    <row s="34794" customFormat="1" customHeight="1" ht="17.25" hidden="1">
      <c r="A61" s="947"/>
      <c r="C61" s="835"/>
      <c r="D61" s="2762"/>
      <c r="E61" s="2770"/>
      <c r="F61" s="2772"/>
      <c r="G61" s="2770"/>
      <c r="H61" s="2775"/>
      <c r="I61" s="2777"/>
      <c r="J61" s="2780"/>
      <c r="K61" s="2764"/>
      <c r="L61" s="2560"/>
      <c r="M61" s="2560"/>
      <c r="N61" s="2560"/>
      <c r="O61" s="2560"/>
      <c r="P61" s="2560"/>
      <c r="Q61" s="2560"/>
      <c r="R61" s="2560"/>
      <c r="S61" s="955"/>
      <c r="T61" s="955"/>
      <c r="U61" s="955"/>
      <c r="V61" s="955"/>
      <c r="W61" s="2561"/>
      <c r="Y61" s="1893"/>
      <c r="Z61" s="1893"/>
      <c r="AA61" s="1893"/>
      <c r="AB61" s="1893"/>
      <c r="AC61" s="1893"/>
      <c r="AD61" s="1893"/>
      <c r="AE61" s="1893"/>
      <c r="AF61" s="1893"/>
      <c r="AG61" s="1893"/>
      <c r="AH61" s="1893"/>
      <c r="AI61" s="1893"/>
      <c r="AJ61" s="1893"/>
      <c r="AK61" s="1893"/>
      <c r="AL61" s="1893"/>
      <c r="AM61" s="1893"/>
      <c r="AN61" s="1893"/>
      <c r="AO61" s="1893"/>
      <c r="AP61" s="1893"/>
      <c r="AQ61" s="1893"/>
      <c r="AR61" s="2093">
        <v>0</v>
      </c>
    </row>
    <row s="34794" customFormat="1" customHeight="1" ht="17.25" hidden="1">
      <c r="A62" s="947"/>
      <c r="C62" s="946"/>
      <c r="D62" s="2762"/>
      <c r="E62" s="2770"/>
      <c r="F62" s="2773"/>
      <c r="G62" s="2770"/>
      <c r="H62" s="1925"/>
      <c r="I62" s="2562"/>
      <c r="J62" s="2562"/>
      <c r="K62" s="2562"/>
      <c r="L62" s="2562"/>
      <c r="M62" s="2562"/>
      <c r="N62" s="2562"/>
      <c r="O62" s="2562"/>
      <c r="P62" s="2562"/>
      <c r="Q62" s="2562"/>
      <c r="R62" s="2562"/>
      <c r="S62" s="1927"/>
      <c r="T62" s="1927"/>
      <c r="U62" s="1927"/>
      <c r="V62" s="1927"/>
      <c r="W62" s="2563"/>
      <c r="X62" s="1892"/>
      <c r="Y62" s="1892"/>
      <c r="Z62" s="1892"/>
      <c r="AA62" s="1892"/>
      <c r="AB62" s="1892"/>
      <c r="AC62" s="1892"/>
      <c r="AD62" s="1892"/>
      <c r="AE62" s="1892"/>
      <c r="AF62" s="1892"/>
      <c r="AG62" s="1892"/>
      <c r="AH62" s="1892"/>
      <c r="AI62" s="1892"/>
      <c r="AJ62" s="1892"/>
      <c r="AK62" s="1892"/>
      <c r="AL62" s="1892"/>
      <c r="AM62" s="1892"/>
      <c r="AN62" s="1892"/>
      <c r="AO62" s="1892"/>
      <c r="AP62" s="1892"/>
      <c r="AQ62" s="1892"/>
      <c r="AR62" s="2093">
        <v>0</v>
      </c>
    </row>
    <row s="34794" customFormat="1" customHeight="1" ht="17.25" hidden="1">
      <c r="A63" s="947"/>
      <c r="C63" s="835"/>
      <c r="D63" s="2761">
        <v>10</v>
      </c>
      <c r="E63" s="2769" t="s">
        <v>228</v>
      </c>
      <c r="F63" s="2771" t="s">
        <v>19</v>
      </c>
      <c r="G63" s="2769"/>
      <c r="H63" s="2774"/>
      <c r="I63" s="2776"/>
      <c r="J63" s="2778"/>
      <c r="K63" s="2763"/>
      <c r="L63" s="2763"/>
      <c r="M63" s="2763"/>
      <c r="N63" s="2765"/>
      <c r="O63" s="2763"/>
      <c r="P63" s="2763"/>
      <c r="Q63" s="2763"/>
      <c r="R63" s="2768"/>
      <c r="S63" s="2763"/>
      <c r="T63" s="2557"/>
      <c r="U63" s="2557"/>
      <c r="V63" s="2559"/>
      <c r="W63" s="1922"/>
      <c r="X63" s="1893"/>
      <c r="Y63" s="1893"/>
      <c r="Z63" s="1893"/>
      <c r="AA63" s="1893"/>
      <c r="AB63" s="1893"/>
      <c r="AC63" s="1893" t="s">
        <v>229</v>
      </c>
      <c r="AD63" s="1893" t="s">
        <v>230</v>
      </c>
      <c r="AE63" s="1893" t="s">
        <v>231</v>
      </c>
      <c r="AF63" s="1893" t="s">
        <v>232</v>
      </c>
      <c r="AG63" s="1893" t="s">
        <v>233</v>
      </c>
      <c r="AH63" s="1893" t="str">
        <f>IF($E$63=0,"",$E$63)</f>
        <v>Предельный уровень цены на тепловую энергию (мощность), поставляемую теплоснабжающими организациями потребителям</v>
      </c>
      <c r="AI63" s="1893" t="str">
        <f>IF($G$63=0,"",$G$63)</f>
        <v/>
      </c>
      <c r="AJ63" s="1893" t="str">
        <f>IF($J$63=0,"",$J$63)</f>
        <v/>
      </c>
      <c r="AK63" s="1893" t="str">
        <f>IF($K$63="нет","без дифференциации",IF($N$63=0,"",$N$63))</f>
        <v/>
      </c>
      <c r="AL63" s="1893" t="str">
        <f>IF($O$63="нет","без дифференциации",IF($R$63=0,"",$R$63))</f>
        <v/>
      </c>
      <c r="AM63" s="1893" t="str">
        <f>IF($S$63="нет","без дифференциации",IF($V$63=0,"",$V$63))</f>
        <v/>
      </c>
      <c r="AN63" s="2398">
        <f>$I$63</f>
        <v>0</v>
      </c>
      <c r="AO63" s="1893" t="str">
        <f>$I$63&amp;"."&amp;$M$63</f>
        <v>.</v>
      </c>
      <c r="AP63" s="1892" t="str">
        <f>$I$63&amp;"."&amp;$M$63&amp;"."&amp;$Q$63</f>
        <v>..</v>
      </c>
      <c r="AQ63" s="1892" t="str">
        <f>$I$63&amp;"."&amp;$M$63&amp;"."&amp;$Q$63&amp;"."&amp;$U$63</f>
        <v>...</v>
      </c>
      <c r="AR63" s="2093">
        <v>0</v>
      </c>
    </row>
    <row s="34794" customFormat="1" customHeight="1" ht="17.25" hidden="1">
      <c r="A64" s="947"/>
      <c r="C64" s="946"/>
      <c r="D64" s="2761"/>
      <c r="E64" s="2769"/>
      <c r="F64" s="2772"/>
      <c r="G64" s="2769"/>
      <c r="H64" s="2775"/>
      <c r="I64" s="2777"/>
      <c r="J64" s="2779"/>
      <c r="K64" s="2764"/>
      <c r="L64" s="2764"/>
      <c r="M64" s="2764"/>
      <c r="N64" s="2766"/>
      <c r="O64" s="2764"/>
      <c r="P64" s="2764"/>
      <c r="Q64" s="2764"/>
      <c r="R64" s="2767"/>
      <c r="S64" s="2764"/>
      <c r="T64" s="2560"/>
      <c r="U64" s="2560"/>
      <c r="V64" s="2560"/>
      <c r="W64" s="2561"/>
      <c r="X64" s="1892"/>
      <c r="Y64" s="1892"/>
      <c r="Z64" s="1892"/>
      <c r="AA64" s="1892"/>
      <c r="AB64" s="1892"/>
      <c r="AC64" s="1892"/>
      <c r="AD64" s="1892"/>
      <c r="AE64" s="1892"/>
      <c r="AF64" s="1892"/>
      <c r="AG64" s="1892"/>
      <c r="AH64" s="1892"/>
      <c r="AI64" s="1892"/>
      <c r="AJ64" s="1892"/>
      <c r="AK64" s="1892"/>
      <c r="AL64" s="1892"/>
      <c r="AM64" s="1892"/>
      <c r="AN64" s="1892"/>
      <c r="AO64" s="1892"/>
      <c r="AP64" s="1892"/>
      <c r="AQ64" s="1892"/>
      <c r="AR64" s="2093">
        <v>0</v>
      </c>
    </row>
    <row s="34794" customFormat="1" customHeight="1" ht="17.25" hidden="1">
      <c r="A65" s="947"/>
      <c r="C65" s="946"/>
      <c r="D65" s="2762"/>
      <c r="E65" s="2770"/>
      <c r="F65" s="2772"/>
      <c r="G65" s="2770"/>
      <c r="H65" s="2775"/>
      <c r="I65" s="2777"/>
      <c r="J65" s="2780"/>
      <c r="K65" s="2764"/>
      <c r="L65" s="2764"/>
      <c r="M65" s="2764"/>
      <c r="N65" s="2767"/>
      <c r="O65" s="2764"/>
      <c r="P65" s="2558"/>
      <c r="Q65" s="2560"/>
      <c r="R65" s="2560"/>
      <c r="S65" s="955"/>
      <c r="T65" s="955"/>
      <c r="U65" s="955"/>
      <c r="V65" s="955"/>
      <c r="W65" s="2561"/>
      <c r="X65" s="1892"/>
      <c r="Y65" s="1892"/>
      <c r="Z65" s="1892"/>
      <c r="AA65" s="1892"/>
      <c r="AB65" s="1892"/>
      <c r="AC65" s="1892"/>
      <c r="AD65" s="1892"/>
      <c r="AE65" s="1892"/>
      <c r="AF65" s="1892"/>
      <c r="AG65" s="1892"/>
      <c r="AH65" s="1892"/>
      <c r="AI65" s="1892"/>
      <c r="AJ65" s="1892"/>
      <c r="AK65" s="1892"/>
      <c r="AL65" s="1892"/>
      <c r="AM65" s="1892"/>
      <c r="AN65" s="1892"/>
      <c r="AO65" s="1892"/>
      <c r="AP65" s="1892"/>
      <c r="AQ65" s="1892"/>
      <c r="AR65" s="2093">
        <v>0</v>
      </c>
    </row>
    <row s="34794" customFormat="1" customHeight="1" ht="17.25" hidden="1">
      <c r="A66" s="947"/>
      <c r="C66" s="835"/>
      <c r="D66" s="2762"/>
      <c r="E66" s="2770"/>
      <c r="F66" s="2772"/>
      <c r="G66" s="2770"/>
      <c r="H66" s="2775"/>
      <c r="I66" s="2777"/>
      <c r="J66" s="2780"/>
      <c r="K66" s="2764"/>
      <c r="L66" s="2560"/>
      <c r="M66" s="2560"/>
      <c r="N66" s="2560"/>
      <c r="O66" s="2560"/>
      <c r="P66" s="2560"/>
      <c r="Q66" s="2560"/>
      <c r="R66" s="2560"/>
      <c r="S66" s="955"/>
      <c r="T66" s="955"/>
      <c r="U66" s="955"/>
      <c r="V66" s="955"/>
      <c r="W66" s="2561"/>
      <c r="Y66" s="1893"/>
      <c r="Z66" s="1893"/>
      <c r="AA66" s="1893"/>
      <c r="AB66" s="1893"/>
      <c r="AC66" s="1893"/>
      <c r="AD66" s="1893"/>
      <c r="AE66" s="1893"/>
      <c r="AF66" s="1893"/>
      <c r="AG66" s="1893"/>
      <c r="AH66" s="1893"/>
      <c r="AI66" s="1893"/>
      <c r="AJ66" s="1893"/>
      <c r="AK66" s="1893"/>
      <c r="AL66" s="1893"/>
      <c r="AM66" s="1893"/>
      <c r="AN66" s="1893"/>
      <c r="AO66" s="1893"/>
      <c r="AP66" s="1893"/>
      <c r="AQ66" s="1893"/>
      <c r="AR66" s="2093">
        <v>0</v>
      </c>
    </row>
    <row s="34794" customFormat="1" customHeight="1" ht="17.25" hidden="1">
      <c r="A67" s="947"/>
      <c r="C67" s="946"/>
      <c r="D67" s="2762"/>
      <c r="E67" s="2770"/>
      <c r="F67" s="2773"/>
      <c r="G67" s="2770"/>
      <c r="H67" s="1925"/>
      <c r="I67" s="2562"/>
      <c r="J67" s="2562"/>
      <c r="K67" s="2562"/>
      <c r="L67" s="2562"/>
      <c r="M67" s="2562"/>
      <c r="N67" s="2562"/>
      <c r="O67" s="2562"/>
      <c r="P67" s="2562"/>
      <c r="Q67" s="2562"/>
      <c r="R67" s="2562"/>
      <c r="S67" s="1927"/>
      <c r="T67" s="1927"/>
      <c r="U67" s="1927"/>
      <c r="V67" s="1927"/>
      <c r="W67" s="2563"/>
      <c r="X67" s="1892"/>
      <c r="Y67" s="1892"/>
      <c r="Z67" s="1892"/>
      <c r="AA67" s="1892"/>
      <c r="AB67" s="1892"/>
      <c r="AC67" s="1892"/>
      <c r="AD67" s="1892"/>
      <c r="AE67" s="1892"/>
      <c r="AF67" s="1892"/>
      <c r="AG67" s="1892"/>
      <c r="AH67" s="1892"/>
      <c r="AI67" s="1892"/>
      <c r="AJ67" s="1892"/>
      <c r="AK67" s="1892"/>
      <c r="AL67" s="1892"/>
      <c r="AM67" s="1892"/>
      <c r="AN67" s="1892"/>
      <c r="AO67" s="1892"/>
      <c r="AP67" s="1892"/>
      <c r="AQ67" s="1892"/>
      <c r="AR67" s="2093">
        <v>0</v>
      </c>
    </row>
    <row customHeight="1" ht="11.25" hidden="1">
      <c r="AR68" s="730">
        <v>0</v>
      </c>
    </row>
    <row customHeight="1" ht="11.25" hidden="1">
      <c r="E69" s="2800" t="s">
        <v>234</v>
      </c>
      <c r="F69" s="2800"/>
      <c r="G69" s="2800"/>
      <c r="H69" s="2800"/>
      <c r="I69" s="2800"/>
      <c r="J69" s="2800"/>
      <c r="K69" s="2800"/>
      <c r="L69" s="2800"/>
      <c r="M69" s="2800"/>
      <c r="N69" s="2800"/>
      <c r="O69" s="2800"/>
      <c r="P69" s="2800"/>
      <c r="Q69" s="2800"/>
      <c r="R69" s="2800"/>
      <c r="S69" s="2800"/>
      <c r="T69" s="2800"/>
      <c r="U69" s="2800"/>
      <c r="V69" s="2800"/>
      <c r="W69" s="2800"/>
      <c r="AR69" s="730">
        <v>0</v>
      </c>
    </row>
    <row customHeight="1" ht="36.75" hidden="1">
      <c r="E70" s="2798" t="s">
        <v>235</v>
      </c>
      <c r="F70" s="2798"/>
      <c r="G70" s="2799"/>
      <c r="H70" s="2799"/>
      <c r="I70" s="2799"/>
      <c r="J70" s="2799"/>
      <c r="K70" s="2799"/>
      <c r="L70" s="2799"/>
      <c r="M70" s="2799"/>
      <c r="N70" s="2799"/>
      <c r="O70" s="2799"/>
      <c r="P70" s="2799"/>
      <c r="Q70" s="2799"/>
      <c r="R70" s="2799"/>
      <c r="S70" s="2799"/>
      <c r="T70" s="2799"/>
      <c r="U70" s="2799"/>
      <c r="V70" s="2799"/>
      <c r="W70" s="2799"/>
      <c r="AR70" s="730">
        <v>0</v>
      </c>
    </row>
    <row customHeight="1" ht="28.5" hidden="1">
      <c r="E71" s="2798" t="s">
        <v>236</v>
      </c>
      <c r="F71" s="2798"/>
      <c r="G71" s="2799"/>
      <c r="H71" s="2799"/>
      <c r="I71" s="2799"/>
      <c r="J71" s="2799"/>
      <c r="K71" s="2799"/>
      <c r="L71" s="2799"/>
      <c r="M71" s="2799"/>
      <c r="N71" s="2799"/>
      <c r="O71" s="2799"/>
      <c r="P71" s="2799"/>
      <c r="Q71" s="2799"/>
      <c r="R71" s="2799"/>
      <c r="S71" s="2799"/>
      <c r="T71" s="2799"/>
      <c r="U71" s="2799"/>
      <c r="V71" s="2799"/>
      <c r="W71" s="2799"/>
      <c r="AR71" s="730">
        <v>0</v>
      </c>
    </row>
    <row customHeight="1" ht="27" hidden="1">
      <c r="E72" s="2798" t="s">
        <v>237</v>
      </c>
      <c r="F72" s="2798"/>
      <c r="G72" s="2799"/>
      <c r="H72" s="2799"/>
      <c r="I72" s="2799"/>
      <c r="J72" s="2799"/>
      <c r="K72" s="2799"/>
      <c r="L72" s="2799"/>
      <c r="M72" s="2799"/>
      <c r="N72" s="2799"/>
      <c r="O72" s="2799"/>
      <c r="P72" s="2799"/>
      <c r="Q72" s="2799"/>
      <c r="R72" s="2799"/>
      <c r="S72" s="2799"/>
      <c r="T72" s="2799"/>
      <c r="U72" s="2799"/>
      <c r="V72" s="2799"/>
      <c r="W72" s="2799"/>
      <c r="AR72" s="730">
        <v>0</v>
      </c>
    </row>
    <row customHeight="1" ht="17.25" hidden="1">
      <c r="E73" s="2798" t="s">
        <v>238</v>
      </c>
      <c r="F73" s="2798"/>
      <c r="G73" s="2799"/>
      <c r="H73" s="2799"/>
      <c r="I73" s="2799"/>
      <c r="J73" s="2799"/>
      <c r="K73" s="2799"/>
      <c r="L73" s="2799"/>
      <c r="M73" s="2799"/>
      <c r="N73" s="2799"/>
      <c r="O73" s="2799"/>
      <c r="P73" s="2799"/>
      <c r="Q73" s="2799"/>
      <c r="R73" s="2799"/>
      <c r="S73" s="2799"/>
      <c r="T73" s="2799"/>
      <c r="U73" s="2799"/>
      <c r="V73" s="2799"/>
      <c r="W73" s="2799"/>
      <c r="AR73" s="730">
        <v>0</v>
      </c>
    </row>
    <row customHeight="1" ht="15" hidden="1">
      <c r="E74" s="966"/>
      <c r="F74" s="1911"/>
      <c r="G74" s="783"/>
      <c r="H74" s="783"/>
      <c r="I74" s="783"/>
      <c r="J74" s="783"/>
      <c r="K74" s="783"/>
      <c r="L74" s="783"/>
      <c r="M74" s="783"/>
      <c r="N74" s="783"/>
      <c r="O74" s="783"/>
      <c r="P74" s="783"/>
      <c r="Q74" s="783"/>
      <c r="R74" s="783"/>
      <c r="S74" s="783"/>
      <c r="T74" s="783"/>
      <c r="U74" s="783"/>
      <c r="V74" s="783"/>
      <c r="W74" s="783"/>
      <c r="AR74" s="730">
        <v>0</v>
      </c>
    </row>
    <row customHeight="1" ht="15" hidden="1">
      <c r="E75" s="2800" t="s">
        <v>239</v>
      </c>
      <c r="F75" s="2800"/>
      <c r="G75" s="2800"/>
      <c r="H75" s="2800"/>
      <c r="I75" s="2800"/>
      <c r="J75" s="2800"/>
      <c r="K75" s="2800"/>
      <c r="L75" s="2800"/>
      <c r="M75" s="2800"/>
      <c r="N75" s="2800"/>
      <c r="O75" s="2800"/>
      <c r="P75" s="2800"/>
      <c r="Q75" s="2800"/>
      <c r="R75" s="2800"/>
      <c r="S75" s="2800"/>
      <c r="T75" s="2800"/>
      <c r="U75" s="2800"/>
      <c r="V75" s="2800"/>
      <c r="W75" s="2800"/>
      <c r="AR75" s="730">
        <v>0</v>
      </c>
    </row>
    <row customHeight="1" ht="17.25" hidden="1">
      <c r="E76" s="2798" t="s">
        <v>240</v>
      </c>
      <c r="F76" s="2798"/>
      <c r="G76" s="2799"/>
      <c r="H76" s="2799"/>
      <c r="I76" s="2799"/>
      <c r="J76" s="2799"/>
      <c r="K76" s="2799"/>
      <c r="L76" s="2799"/>
      <c r="M76" s="2799"/>
      <c r="N76" s="2799"/>
      <c r="O76" s="2799"/>
      <c r="P76" s="2799"/>
      <c r="Q76" s="2799"/>
      <c r="R76" s="2799"/>
      <c r="S76" s="2799"/>
      <c r="T76" s="2799"/>
      <c r="U76" s="2799"/>
      <c r="V76" s="2799"/>
      <c r="W76" s="2799"/>
      <c r="AR76" s="730">
        <v>0</v>
      </c>
    </row>
    <row customHeight="1" ht="17.25" hidden="1">
      <c r="E77" s="2798" t="s">
        <v>241</v>
      </c>
      <c r="F77" s="2798"/>
      <c r="G77" s="2799"/>
      <c r="H77" s="2799"/>
      <c r="I77" s="2799"/>
      <c r="J77" s="2799"/>
      <c r="K77" s="2799"/>
      <c r="L77" s="2799"/>
      <c r="M77" s="2799"/>
      <c r="N77" s="2799"/>
      <c r="O77" s="2799"/>
      <c r="P77" s="2799"/>
      <c r="Q77" s="2799"/>
      <c r="R77" s="2799"/>
      <c r="S77" s="2799"/>
      <c r="T77" s="2799"/>
      <c r="U77" s="2799"/>
      <c r="V77" s="2799"/>
      <c r="W77" s="2799"/>
      <c r="AR77" s="730">
        <v>0</v>
      </c>
    </row>
    <row s="34794" customFormat="1" customHeight="1" ht="11.25" hidden="1">
      <c r="A78" s="903"/>
      <c r="B78" s="903"/>
      <c r="Y78" s="1885"/>
      <c r="Z78" s="1885"/>
      <c r="AA78" s="1885"/>
      <c r="AB78" s="1885"/>
      <c r="AC78" s="1885"/>
      <c r="AD78" s="1885"/>
      <c r="AE78" s="1885"/>
      <c r="AF78" s="1885"/>
      <c r="AG78" s="1885"/>
      <c r="AH78" s="1885"/>
      <c r="AI78" s="1885"/>
      <c r="AJ78" s="1885"/>
      <c r="AK78" s="1885"/>
      <c r="AL78" s="1885"/>
      <c r="AM78" s="1885"/>
      <c r="AN78" s="1885"/>
      <c r="AO78" s="1885"/>
      <c r="AP78" s="1885"/>
      <c r="AQ78" s="1885"/>
      <c r="AR78" s="1976">
        <v>0</v>
      </c>
    </row>
    <row s="34794" customFormat="1" customHeight="1" ht="17.25" hidden="1">
      <c r="A79" s="947"/>
      <c r="C79" s="835"/>
      <c r="D79" s="2761">
        <v>1</v>
      </c>
      <c r="E79" s="2769" t="s">
        <v>242</v>
      </c>
      <c r="F79" s="2771" t="s">
        <v>19</v>
      </c>
      <c r="G79" s="2769"/>
      <c r="H79" s="2774"/>
      <c r="I79" s="2776"/>
      <c r="J79" s="2778"/>
      <c r="K79" s="2763"/>
      <c r="L79" s="2763"/>
      <c r="M79" s="2763"/>
      <c r="N79" s="2765"/>
      <c r="O79" s="2763"/>
      <c r="P79" s="2763"/>
      <c r="Q79" s="2763"/>
      <c r="R79" s="2768"/>
      <c r="S79" s="2763"/>
      <c r="T79" s="2096"/>
      <c r="U79" s="2096"/>
      <c r="V79" s="2098"/>
      <c r="W79" s="1922"/>
      <c r="Y79" s="1893"/>
      <c r="Z79" s="1893"/>
      <c r="AA79" s="1893"/>
      <c r="AB79" s="1893"/>
      <c r="AC79" s="1893" t="s">
        <v>243</v>
      </c>
      <c r="AD79" s="1893" t="s">
        <v>244</v>
      </c>
      <c r="AE79" s="1893" t="s">
        <v>245</v>
      </c>
      <c r="AF79" s="1893" t="s">
        <v>246</v>
      </c>
      <c r="AG79" s="1893"/>
      <c r="AH79" s="1893" t="str">
        <f>IF($E$79=0,"",$E$79)</f>
        <v>Тариф на питьевую воду (питьевое водоснабжение)</v>
      </c>
      <c r="AI79" s="1893" t="str">
        <f>IF($G$79=0,"",$G$79)</f>
        <v/>
      </c>
      <c r="AJ79" s="1893" t="str">
        <f>IF($J$79=0,"",$J$79)</f>
        <v/>
      </c>
      <c r="AK79" s="1893" t="str">
        <f>IF($K$79="нет","без дифференциации",IF($N$79=0,"",$N$79))</f>
        <v/>
      </c>
      <c r="AL79" s="1893" t="str">
        <f>IF($O$79="нет","без дифференциации",IF($R$79=0,"",$R$79))</f>
        <v/>
      </c>
      <c r="AM79" s="1893" t="str">
        <f>IF($S$79="нет","без дифференциации",IF($V$79=0,"",$V$79))</f>
        <v/>
      </c>
      <c r="AN79" s="1893">
        <f>$I$79</f>
        <v>0</v>
      </c>
      <c r="AO79" s="1893" t="str">
        <f>$I$79&amp;"."&amp;$M$79</f>
        <v>.</v>
      </c>
      <c r="AP79" s="1893" t="str">
        <f>$I$79&amp;"."&amp;$M$79&amp;"."&amp;$Q$79</f>
        <v>..</v>
      </c>
      <c r="AQ79" s="1893" t="str">
        <f>$I$79&amp;"."&amp;$M$79&amp;"."&amp;$Q$79&amp;"."&amp;$U$79</f>
        <v>...</v>
      </c>
      <c r="AR79" s="1976">
        <v>0</v>
      </c>
    </row>
    <row s="34794" customFormat="1" customHeight="1" ht="17.25" hidden="1">
      <c r="A80" s="947"/>
      <c r="C80" s="946"/>
      <c r="D80" s="2761"/>
      <c r="E80" s="2769"/>
      <c r="F80" s="2772"/>
      <c r="G80" s="2769"/>
      <c r="H80" s="2775"/>
      <c r="I80" s="2777"/>
      <c r="J80" s="2779"/>
      <c r="K80" s="2764"/>
      <c r="L80" s="2764"/>
      <c r="M80" s="2764"/>
      <c r="N80" s="2766"/>
      <c r="O80" s="2764"/>
      <c r="P80" s="2764"/>
      <c r="Q80" s="2764"/>
      <c r="R80" s="2767"/>
      <c r="S80" s="2764"/>
      <c r="T80" s="1923"/>
      <c r="U80" s="1923"/>
      <c r="V80" s="1923"/>
      <c r="W80" s="1924"/>
      <c r="Y80" s="1885"/>
      <c r="Z80" s="1885"/>
      <c r="AA80" s="1885"/>
      <c r="AB80" s="1885"/>
      <c r="AC80" s="1885"/>
      <c r="AD80" s="1885"/>
      <c r="AE80" s="1885"/>
      <c r="AF80" s="1885"/>
      <c r="AG80" s="1885"/>
      <c r="AH80" s="1885"/>
      <c r="AI80" s="1885"/>
      <c r="AJ80" s="1885"/>
      <c r="AK80" s="1885"/>
      <c r="AL80" s="1885"/>
      <c r="AM80" s="1885"/>
      <c r="AN80" s="1885"/>
      <c r="AO80" s="1885"/>
      <c r="AP80" s="1885"/>
      <c r="AQ80" s="1885"/>
      <c r="AR80" s="1976">
        <v>0</v>
      </c>
    </row>
    <row s="34794" customFormat="1" customHeight="1" ht="17.25" hidden="1">
      <c r="A81" s="947"/>
      <c r="C81" s="835"/>
      <c r="D81" s="2761"/>
      <c r="E81" s="2769"/>
      <c r="F81" s="2772"/>
      <c r="G81" s="2769"/>
      <c r="H81" s="2775"/>
      <c r="I81" s="2777"/>
      <c r="J81" s="2780"/>
      <c r="K81" s="2764"/>
      <c r="L81" s="2764"/>
      <c r="M81" s="2764"/>
      <c r="N81" s="2767"/>
      <c r="O81" s="2764"/>
      <c r="P81" s="2097"/>
      <c r="Q81" s="1923"/>
      <c r="R81" s="1923"/>
      <c r="S81" s="955"/>
      <c r="T81" s="955"/>
      <c r="U81" s="955"/>
      <c r="V81" s="955"/>
      <c r="W81" s="1924"/>
      <c r="Y81" s="1893"/>
      <c r="Z81" s="1893"/>
      <c r="AA81" s="1893"/>
      <c r="AB81" s="1893"/>
      <c r="AC81" s="1893"/>
      <c r="AD81" s="1893"/>
      <c r="AE81" s="1893"/>
      <c r="AF81" s="1893"/>
      <c r="AG81" s="1893"/>
      <c r="AH81" s="1893"/>
      <c r="AI81" s="1893"/>
      <c r="AJ81" s="1893"/>
      <c r="AK81" s="1893"/>
      <c r="AL81" s="1893"/>
      <c r="AM81" s="1893"/>
      <c r="AN81" s="1893"/>
      <c r="AO81" s="1893"/>
      <c r="AP81" s="1893"/>
      <c r="AQ81" s="1893"/>
      <c r="AR81" s="2067">
        <v>0</v>
      </c>
    </row>
    <row s="34794" customFormat="1" customHeight="1" ht="17.25" hidden="1">
      <c r="A82" s="947"/>
      <c r="C82" s="946"/>
      <c r="D82" s="2761"/>
      <c r="E82" s="2769"/>
      <c r="F82" s="2772"/>
      <c r="G82" s="2769"/>
      <c r="H82" s="2775"/>
      <c r="I82" s="2777"/>
      <c r="J82" s="2780"/>
      <c r="K82" s="2764"/>
      <c r="L82" s="1923"/>
      <c r="M82" s="1923"/>
      <c r="N82" s="1923"/>
      <c r="O82" s="1923"/>
      <c r="P82" s="1923"/>
      <c r="Q82" s="1923"/>
      <c r="R82" s="1923"/>
      <c r="S82" s="955"/>
      <c r="T82" s="955"/>
      <c r="U82" s="955"/>
      <c r="V82" s="955"/>
      <c r="W82" s="1924"/>
      <c r="Y82" s="1885"/>
      <c r="Z82" s="1885"/>
      <c r="AA82" s="1885"/>
      <c r="AB82" s="1885"/>
      <c r="AC82" s="1885"/>
      <c r="AD82" s="1885"/>
      <c r="AE82" s="1885"/>
      <c r="AF82" s="1885"/>
      <c r="AG82" s="1885"/>
      <c r="AH82" s="1885"/>
      <c r="AI82" s="1885"/>
      <c r="AJ82" s="1885"/>
      <c r="AK82" s="1885"/>
      <c r="AL82" s="1885"/>
      <c r="AM82" s="1885"/>
      <c r="AN82" s="1885"/>
      <c r="AO82" s="1885"/>
      <c r="AP82" s="1885"/>
      <c r="AQ82" s="1885"/>
      <c r="AR82" s="2067">
        <v>0</v>
      </c>
    </row>
    <row s="34794" customFormat="1" customHeight="1" ht="17.25" hidden="1">
      <c r="A83" s="947"/>
      <c r="C83" s="946"/>
      <c r="D83" s="2762"/>
      <c r="E83" s="2770"/>
      <c r="F83" s="2773"/>
      <c r="G83" s="2770"/>
      <c r="H83" s="1925"/>
      <c r="I83" s="1926"/>
      <c r="J83" s="1926"/>
      <c r="K83" s="1926"/>
      <c r="L83" s="1926"/>
      <c r="M83" s="1926"/>
      <c r="N83" s="1926"/>
      <c r="O83" s="1926"/>
      <c r="P83" s="1926"/>
      <c r="Q83" s="1926"/>
      <c r="R83" s="1926"/>
      <c r="S83" s="1927"/>
      <c r="T83" s="1927"/>
      <c r="U83" s="1927"/>
      <c r="V83" s="1927"/>
      <c r="W83" s="1928"/>
      <c r="Y83" s="1885"/>
      <c r="Z83" s="1885"/>
      <c r="AA83" s="1885"/>
      <c r="AB83" s="1885"/>
      <c r="AC83" s="1885"/>
      <c r="AD83" s="1885"/>
      <c r="AE83" s="1885"/>
      <c r="AF83" s="1885"/>
      <c r="AG83" s="1885"/>
      <c r="AH83" s="1885"/>
      <c r="AI83" s="1885"/>
      <c r="AJ83" s="1885"/>
      <c r="AK83" s="1885"/>
      <c r="AL83" s="1885"/>
      <c r="AM83" s="1885"/>
      <c r="AN83" s="1885"/>
      <c r="AO83" s="1885"/>
      <c r="AP83" s="1885"/>
      <c r="AQ83" s="1885"/>
      <c r="AR83" s="1976">
        <v>0</v>
      </c>
    </row>
    <row s="34794" customFormat="1" customHeight="1" ht="17.25" hidden="1">
      <c r="A84" s="947"/>
      <c r="C84" s="835"/>
      <c r="D84" s="2761">
        <v>2</v>
      </c>
      <c r="E84" s="2769" t="s">
        <v>247</v>
      </c>
      <c r="F84" s="2771" t="s">
        <v>19</v>
      </c>
      <c r="G84" s="2769"/>
      <c r="H84" s="2774"/>
      <c r="I84" s="2776"/>
      <c r="J84" s="2778"/>
      <c r="K84" s="2763"/>
      <c r="L84" s="2763"/>
      <c r="M84" s="2763"/>
      <c r="N84" s="2765"/>
      <c r="O84" s="2763"/>
      <c r="P84" s="2763"/>
      <c r="Q84" s="2763"/>
      <c r="R84" s="2768"/>
      <c r="S84" s="2763"/>
      <c r="T84" s="2069"/>
      <c r="U84" s="2069"/>
      <c r="V84" s="2071"/>
      <c r="W84" s="1922"/>
      <c r="X84" s="1893"/>
      <c r="Y84" s="1893"/>
      <c r="Z84" s="1893"/>
      <c r="AA84" s="1893"/>
      <c r="AB84" s="1893"/>
      <c r="AC84" s="1893" t="s">
        <v>248</v>
      </c>
      <c r="AD84" s="1893" t="s">
        <v>249</v>
      </c>
      <c r="AE84" s="1893" t="s">
        <v>250</v>
      </c>
      <c r="AF84" s="1893" t="s">
        <v>251</v>
      </c>
      <c r="AG84" s="1893"/>
      <c r="AH84" s="1893" t="str">
        <f>IF($E$84=0,"",$E$84)</f>
        <v>Тариф на техническую воду</v>
      </c>
      <c r="AI84" s="1893" t="str">
        <f>IF($G$84=0,"",$G$84)</f>
        <v/>
      </c>
      <c r="AJ84" s="1893" t="str">
        <f>IF($J$84=0,"",$J$84)</f>
        <v/>
      </c>
      <c r="AK84" s="1893" t="str">
        <f>IF($K$84="нет","без дифференциации",IF($N$84=0,"",$N$84))</f>
        <v/>
      </c>
      <c r="AL84" s="1893" t="str">
        <f>IF($O$84="нет","без дифференциации",IF($R$84=0,"",$R$84))</f>
        <v/>
      </c>
      <c r="AM84" s="1893" t="str">
        <f>IF($S$84="нет","без дифференциации",IF($V$84=0,"",$V$84))</f>
        <v/>
      </c>
      <c r="AN84" s="2398">
        <f>$I$84</f>
        <v>0</v>
      </c>
      <c r="AO84" s="1893" t="str">
        <f>$I$84&amp;"."&amp;$M$84</f>
        <v>.</v>
      </c>
      <c r="AP84" s="1885" t="str">
        <f>$I$84&amp;"."&amp;$M$84&amp;"."&amp;$Q$84</f>
        <v>..</v>
      </c>
      <c r="AQ84" s="1885" t="str">
        <f>$I$84&amp;"."&amp;$M$84&amp;"."&amp;$Q$84&amp;"."&amp;$U$84</f>
        <v>...</v>
      </c>
      <c r="AR84" s="1976">
        <v>0</v>
      </c>
    </row>
    <row s="34794" customFormat="1" customHeight="1" ht="17.25" hidden="1">
      <c r="A85" s="947"/>
      <c r="C85" s="946"/>
      <c r="D85" s="2761"/>
      <c r="E85" s="2769"/>
      <c r="F85" s="2772"/>
      <c r="G85" s="2769"/>
      <c r="H85" s="2775"/>
      <c r="I85" s="2777"/>
      <c r="J85" s="2779"/>
      <c r="K85" s="2764"/>
      <c r="L85" s="2764"/>
      <c r="M85" s="2764"/>
      <c r="N85" s="2766"/>
      <c r="O85" s="2764"/>
      <c r="P85" s="2764"/>
      <c r="Q85" s="2764"/>
      <c r="R85" s="2767"/>
      <c r="S85" s="2764"/>
      <c r="T85" s="1923"/>
      <c r="U85" s="1923"/>
      <c r="V85" s="1923"/>
      <c r="W85" s="1924"/>
      <c r="X85" s="1885"/>
      <c r="Y85" s="1885"/>
      <c r="Z85" s="1885"/>
      <c r="AA85" s="1885"/>
      <c r="AB85" s="1885"/>
      <c r="AC85" s="1885"/>
      <c r="AD85" s="1885"/>
      <c r="AE85" s="1885"/>
      <c r="AF85" s="1885"/>
      <c r="AG85" s="1885"/>
      <c r="AH85" s="1885"/>
      <c r="AI85" s="1885"/>
      <c r="AJ85" s="1885"/>
      <c r="AK85" s="1885"/>
      <c r="AL85" s="1885"/>
      <c r="AM85" s="1885"/>
      <c r="AN85" s="1885"/>
      <c r="AO85" s="1885"/>
      <c r="AP85" s="1885"/>
      <c r="AQ85" s="1885"/>
      <c r="AR85" s="1976">
        <v>0</v>
      </c>
    </row>
    <row s="34794" customFormat="1" customHeight="1" ht="17.25" hidden="1">
      <c r="A86" s="947"/>
      <c r="C86" s="946"/>
      <c r="D86" s="2762"/>
      <c r="E86" s="2770"/>
      <c r="F86" s="2772"/>
      <c r="G86" s="2770"/>
      <c r="H86" s="2775"/>
      <c r="I86" s="2777"/>
      <c r="J86" s="2780"/>
      <c r="K86" s="2764"/>
      <c r="L86" s="2764"/>
      <c r="M86" s="2764"/>
      <c r="N86" s="2767"/>
      <c r="O86" s="2764"/>
      <c r="P86" s="2070"/>
      <c r="Q86" s="1923"/>
      <c r="R86" s="1923"/>
      <c r="S86" s="955"/>
      <c r="T86" s="955"/>
      <c r="U86" s="955"/>
      <c r="V86" s="955"/>
      <c r="W86" s="1924"/>
      <c r="X86" s="1885"/>
      <c r="Y86" s="1885"/>
      <c r="Z86" s="1885"/>
      <c r="AA86" s="1885"/>
      <c r="AB86" s="1885"/>
      <c r="AC86" s="1885"/>
      <c r="AD86" s="1885"/>
      <c r="AE86" s="1885"/>
      <c r="AF86" s="1885"/>
      <c r="AG86" s="1885"/>
      <c r="AH86" s="1885"/>
      <c r="AI86" s="1885"/>
      <c r="AJ86" s="1885"/>
      <c r="AK86" s="1885"/>
      <c r="AL86" s="1885"/>
      <c r="AM86" s="1885"/>
      <c r="AN86" s="1885"/>
      <c r="AO86" s="1885"/>
      <c r="AP86" s="1885"/>
      <c r="AQ86" s="1885"/>
      <c r="AR86" s="1976">
        <v>0</v>
      </c>
    </row>
    <row s="34794" customFormat="1" customHeight="1" ht="17.25" hidden="1">
      <c r="A87" s="947"/>
      <c r="C87" s="946"/>
      <c r="D87" s="2762"/>
      <c r="E87" s="2770"/>
      <c r="F87" s="2772"/>
      <c r="G87" s="2770"/>
      <c r="H87" s="2775"/>
      <c r="I87" s="2777"/>
      <c r="J87" s="2780"/>
      <c r="K87" s="2764"/>
      <c r="L87" s="1923"/>
      <c r="M87" s="1923"/>
      <c r="N87" s="1923"/>
      <c r="O87" s="1923"/>
      <c r="P87" s="1923"/>
      <c r="Q87" s="1923"/>
      <c r="R87" s="1923"/>
      <c r="S87" s="955"/>
      <c r="T87" s="955"/>
      <c r="U87" s="955"/>
      <c r="V87" s="955"/>
      <c r="W87" s="1924"/>
      <c r="X87" s="1885"/>
      <c r="Y87" s="1885"/>
      <c r="Z87" s="1885"/>
      <c r="AA87" s="1885"/>
      <c r="AB87" s="1885"/>
      <c r="AC87" s="1885"/>
      <c r="AD87" s="1885"/>
      <c r="AE87" s="1885"/>
      <c r="AF87" s="1885"/>
      <c r="AG87" s="1885"/>
      <c r="AH87" s="1885"/>
      <c r="AI87" s="1885"/>
      <c r="AJ87" s="1885"/>
      <c r="AK87" s="1885"/>
      <c r="AL87" s="1885"/>
      <c r="AM87" s="1885"/>
      <c r="AN87" s="1885"/>
      <c r="AO87" s="1885"/>
      <c r="AP87" s="1885"/>
      <c r="AQ87" s="1885"/>
      <c r="AR87" s="1976">
        <v>0</v>
      </c>
    </row>
    <row s="34794" customFormat="1" customHeight="1" ht="17.25" hidden="1">
      <c r="A88" s="947"/>
      <c r="C88" s="946"/>
      <c r="D88" s="2762"/>
      <c r="E88" s="2770"/>
      <c r="F88" s="2773"/>
      <c r="G88" s="2770"/>
      <c r="H88" s="1925"/>
      <c r="I88" s="1926"/>
      <c r="J88" s="1926"/>
      <c r="K88" s="1926"/>
      <c r="L88" s="1926"/>
      <c r="M88" s="1926"/>
      <c r="N88" s="1926"/>
      <c r="O88" s="1926"/>
      <c r="P88" s="1926"/>
      <c r="Q88" s="1926"/>
      <c r="R88" s="1926"/>
      <c r="S88" s="1927"/>
      <c r="T88" s="1927"/>
      <c r="U88" s="1927"/>
      <c r="V88" s="1927"/>
      <c r="W88" s="1928"/>
      <c r="X88" s="1885"/>
      <c r="Y88" s="1885"/>
      <c r="Z88" s="1885"/>
      <c r="AA88" s="1885"/>
      <c r="AB88" s="1885"/>
      <c r="AC88" s="1885"/>
      <c r="AD88" s="1885"/>
      <c r="AE88" s="1885"/>
      <c r="AF88" s="1885"/>
      <c r="AG88" s="1885"/>
      <c r="AH88" s="1885"/>
      <c r="AI88" s="1885"/>
      <c r="AJ88" s="1885"/>
      <c r="AK88" s="1885"/>
      <c r="AL88" s="1885"/>
      <c r="AM88" s="1885"/>
      <c r="AN88" s="1885"/>
      <c r="AO88" s="1885"/>
      <c r="AP88" s="1885"/>
      <c r="AQ88" s="1885"/>
      <c r="AR88" s="1976">
        <v>0</v>
      </c>
    </row>
    <row s="34794" customFormat="1" customHeight="1" ht="17.25" hidden="1">
      <c r="A89" s="947"/>
      <c r="C89" s="835"/>
      <c r="D89" s="2761">
        <v>3</v>
      </c>
      <c r="E89" s="2769" t="s">
        <v>252</v>
      </c>
      <c r="F89" s="2771" t="s">
        <v>19</v>
      </c>
      <c r="G89" s="2769"/>
      <c r="H89" s="2774"/>
      <c r="I89" s="2776"/>
      <c r="J89" s="2778"/>
      <c r="K89" s="2763"/>
      <c r="L89" s="2763"/>
      <c r="M89" s="2763"/>
      <c r="N89" s="2765"/>
      <c r="O89" s="2763"/>
      <c r="P89" s="2763"/>
      <c r="Q89" s="2763"/>
      <c r="R89" s="2768"/>
      <c r="S89" s="2763"/>
      <c r="T89" s="2069"/>
      <c r="U89" s="2069"/>
      <c r="V89" s="2071"/>
      <c r="W89" s="1922"/>
      <c r="X89" s="1893"/>
      <c r="Y89" s="1893"/>
      <c r="Z89" s="1893"/>
      <c r="AA89" s="1893"/>
      <c r="AB89" s="1893"/>
      <c r="AC89" s="1893" t="s">
        <v>253</v>
      </c>
      <c r="AD89" s="1893" t="s">
        <v>254</v>
      </c>
      <c r="AE89" s="1893" t="s">
        <v>255</v>
      </c>
      <c r="AF89" s="1893" t="s">
        <v>256</v>
      </c>
      <c r="AG89" s="1893"/>
      <c r="AH89" s="1893" t="str">
        <f>IF($E$89=0,"",$E$89)</f>
        <v>Тариф на транспортировку воды</v>
      </c>
      <c r="AI89" s="1893" t="str">
        <f>IF($G$89=0,"",$G$89)</f>
        <v/>
      </c>
      <c r="AJ89" s="1893" t="str">
        <f>IF($J$89=0,"",$J$89)</f>
        <v/>
      </c>
      <c r="AK89" s="1893" t="str">
        <f>IF($K$89="нет","без дифференциации",IF($N$89=0,"",$N$89))</f>
        <v/>
      </c>
      <c r="AL89" s="1893" t="str">
        <f>IF($O$89="нет","без дифференциации",IF($R$89=0,"",$R$89))</f>
        <v/>
      </c>
      <c r="AM89" s="1893" t="str">
        <f>IF($S$89="нет","без дифференциации",IF($V$89=0,"",$V$89))</f>
        <v/>
      </c>
      <c r="AN89" s="2398">
        <f>$I$89</f>
        <v>0</v>
      </c>
      <c r="AO89" s="1893" t="str">
        <f>$I$89&amp;"."&amp;$M$89</f>
        <v>.</v>
      </c>
      <c r="AP89" s="1885" t="str">
        <f>$I$89&amp;"."&amp;$M$89&amp;"."&amp;$Q$89</f>
        <v>..</v>
      </c>
      <c r="AQ89" s="1885" t="str">
        <f>$I$89&amp;"."&amp;$M$89&amp;"."&amp;$Q$89&amp;"."&amp;$U$89</f>
        <v>...</v>
      </c>
      <c r="AR89" s="1976">
        <v>0</v>
      </c>
    </row>
    <row s="34794" customFormat="1" customHeight="1" ht="17.25" hidden="1">
      <c r="A90" s="947"/>
      <c r="C90" s="946"/>
      <c r="D90" s="2761"/>
      <c r="E90" s="2769"/>
      <c r="F90" s="2772"/>
      <c r="G90" s="2769"/>
      <c r="H90" s="2775"/>
      <c r="I90" s="2777"/>
      <c r="J90" s="2779"/>
      <c r="K90" s="2764"/>
      <c r="L90" s="2764"/>
      <c r="M90" s="2764"/>
      <c r="N90" s="2766"/>
      <c r="O90" s="2764"/>
      <c r="P90" s="2764"/>
      <c r="Q90" s="2764"/>
      <c r="R90" s="2767"/>
      <c r="S90" s="2764"/>
      <c r="T90" s="1923"/>
      <c r="U90" s="1923"/>
      <c r="V90" s="1923"/>
      <c r="W90" s="1924"/>
      <c r="X90" s="1885"/>
      <c r="Y90" s="1885"/>
      <c r="Z90" s="1885"/>
      <c r="AA90" s="1885"/>
      <c r="AB90" s="1885"/>
      <c r="AC90" s="1885"/>
      <c r="AD90" s="1885"/>
      <c r="AE90" s="1885"/>
      <c r="AF90" s="1885"/>
      <c r="AG90" s="1885"/>
      <c r="AH90" s="1885"/>
      <c r="AI90" s="1885"/>
      <c r="AJ90" s="1885"/>
      <c r="AK90" s="1885"/>
      <c r="AL90" s="1885"/>
      <c r="AM90" s="1885"/>
      <c r="AN90" s="1885"/>
      <c r="AO90" s="1885"/>
      <c r="AP90" s="1885"/>
      <c r="AQ90" s="1885"/>
      <c r="AR90" s="1976">
        <v>0</v>
      </c>
    </row>
    <row s="34794" customFormat="1" customHeight="1" ht="17.25" hidden="1">
      <c r="A91" s="947"/>
      <c r="C91" s="946"/>
      <c r="D91" s="2762"/>
      <c r="E91" s="2770"/>
      <c r="F91" s="2772"/>
      <c r="G91" s="2770"/>
      <c r="H91" s="2775"/>
      <c r="I91" s="2777"/>
      <c r="J91" s="2780"/>
      <c r="K91" s="2764"/>
      <c r="L91" s="2764"/>
      <c r="M91" s="2764"/>
      <c r="N91" s="2767"/>
      <c r="O91" s="2764"/>
      <c r="P91" s="2070"/>
      <c r="Q91" s="1923"/>
      <c r="R91" s="1923"/>
      <c r="S91" s="955"/>
      <c r="T91" s="955"/>
      <c r="U91" s="955"/>
      <c r="V91" s="955"/>
      <c r="W91" s="1924"/>
      <c r="X91" s="1885"/>
      <c r="Y91" s="1885"/>
      <c r="Z91" s="1885"/>
      <c r="AA91" s="1885"/>
      <c r="AB91" s="1885"/>
      <c r="AC91" s="1885"/>
      <c r="AD91" s="1885"/>
      <c r="AE91" s="1885"/>
      <c r="AF91" s="1885"/>
      <c r="AG91" s="1885"/>
      <c r="AH91" s="1885"/>
      <c r="AI91" s="1885"/>
      <c r="AJ91" s="1885"/>
      <c r="AK91" s="1885"/>
      <c r="AL91" s="1885"/>
      <c r="AM91" s="1885"/>
      <c r="AN91" s="1885"/>
      <c r="AO91" s="1885"/>
      <c r="AP91" s="1885"/>
      <c r="AQ91" s="1885"/>
      <c r="AR91" s="1976">
        <v>0</v>
      </c>
    </row>
    <row s="34794" customFormat="1" customHeight="1" ht="17.25" hidden="1">
      <c r="A92" s="947"/>
      <c r="C92" s="946"/>
      <c r="D92" s="2762"/>
      <c r="E92" s="2770"/>
      <c r="F92" s="2772"/>
      <c r="G92" s="2770"/>
      <c r="H92" s="2775"/>
      <c r="I92" s="2777"/>
      <c r="J92" s="2780"/>
      <c r="K92" s="2764"/>
      <c r="L92" s="1923"/>
      <c r="M92" s="1923"/>
      <c r="N92" s="1923"/>
      <c r="O92" s="1923"/>
      <c r="P92" s="1923"/>
      <c r="Q92" s="1923"/>
      <c r="R92" s="1923"/>
      <c r="S92" s="955"/>
      <c r="T92" s="955"/>
      <c r="U92" s="955"/>
      <c r="V92" s="955"/>
      <c r="W92" s="1924"/>
      <c r="X92" s="1885"/>
      <c r="Y92" s="1885"/>
      <c r="Z92" s="1885"/>
      <c r="AA92" s="1885"/>
      <c r="AB92" s="1885"/>
      <c r="AC92" s="1885"/>
      <c r="AD92" s="1885"/>
      <c r="AE92" s="1885"/>
      <c r="AF92" s="1885"/>
      <c r="AG92" s="1885"/>
      <c r="AH92" s="1885"/>
      <c r="AI92" s="1885"/>
      <c r="AJ92" s="1885"/>
      <c r="AK92" s="1885"/>
      <c r="AL92" s="1885"/>
      <c r="AM92" s="1885"/>
      <c r="AN92" s="1885"/>
      <c r="AO92" s="1885"/>
      <c r="AP92" s="1885"/>
      <c r="AQ92" s="1885"/>
      <c r="AR92" s="1976">
        <v>0</v>
      </c>
    </row>
    <row s="34794" customFormat="1" customHeight="1" ht="17.25" hidden="1">
      <c r="A93" s="947"/>
      <c r="C93" s="946"/>
      <c r="D93" s="2762"/>
      <c r="E93" s="2770"/>
      <c r="F93" s="2773"/>
      <c r="G93" s="2770"/>
      <c r="H93" s="1925"/>
      <c r="I93" s="1926"/>
      <c r="J93" s="1926"/>
      <c r="K93" s="1926"/>
      <c r="L93" s="1926"/>
      <c r="M93" s="1926"/>
      <c r="N93" s="1926"/>
      <c r="O93" s="1926"/>
      <c r="P93" s="1926"/>
      <c r="Q93" s="1926"/>
      <c r="R93" s="1926"/>
      <c r="S93" s="1927"/>
      <c r="T93" s="1927"/>
      <c r="U93" s="1927"/>
      <c r="V93" s="1927"/>
      <c r="W93" s="1928"/>
      <c r="X93" s="1885"/>
      <c r="Y93" s="1885"/>
      <c r="Z93" s="1885"/>
      <c r="AA93" s="1885"/>
      <c r="AB93" s="1885"/>
      <c r="AC93" s="1885"/>
      <c r="AD93" s="1885"/>
      <c r="AE93" s="1885"/>
      <c r="AF93" s="1885"/>
      <c r="AG93" s="1885"/>
      <c r="AH93" s="1885"/>
      <c r="AI93" s="1885"/>
      <c r="AJ93" s="1885"/>
      <c r="AK93" s="1885"/>
      <c r="AL93" s="1885"/>
      <c r="AM93" s="1885"/>
      <c r="AN93" s="1885"/>
      <c r="AO93" s="1885"/>
      <c r="AP93" s="1885"/>
      <c r="AQ93" s="1885"/>
      <c r="AR93" s="1976">
        <v>0</v>
      </c>
    </row>
    <row s="34794" customFormat="1" customHeight="1" ht="17.25" hidden="1">
      <c r="A94" s="947"/>
      <c r="C94" s="835"/>
      <c r="D94" s="2761">
        <v>4</v>
      </c>
      <c r="E94" s="2769" t="s">
        <v>257</v>
      </c>
      <c r="F94" s="2771" t="s">
        <v>19</v>
      </c>
      <c r="G94" s="2769"/>
      <c r="H94" s="2774"/>
      <c r="I94" s="2776"/>
      <c r="J94" s="2778"/>
      <c r="K94" s="2763"/>
      <c r="L94" s="2763"/>
      <c r="M94" s="2763"/>
      <c r="N94" s="2765"/>
      <c r="O94" s="2763"/>
      <c r="P94" s="2763"/>
      <c r="Q94" s="2763"/>
      <c r="R94" s="2768"/>
      <c r="S94" s="2763"/>
      <c r="T94" s="2069"/>
      <c r="U94" s="2069"/>
      <c r="V94" s="2071"/>
      <c r="W94" s="1922"/>
      <c r="X94" s="1893"/>
      <c r="Y94" s="1893"/>
      <c r="Z94" s="1893"/>
      <c r="AA94" s="1893"/>
      <c r="AB94" s="1893"/>
      <c r="AC94" s="1893" t="s">
        <v>258</v>
      </c>
      <c r="AD94" s="1893" t="s">
        <v>259</v>
      </c>
      <c r="AE94" s="1893" t="s">
        <v>260</v>
      </c>
      <c r="AF94" s="1893" t="s">
        <v>261</v>
      </c>
      <c r="AG94" s="1893"/>
      <c r="AH94" s="1893" t="str">
        <f>IF($E$94=0,"",$E$94)</f>
        <v>Тариф на подвоз воды</v>
      </c>
      <c r="AI94" s="1893" t="str">
        <f>IF($G$94=0,"",$G$94)</f>
        <v/>
      </c>
      <c r="AJ94" s="1893" t="str">
        <f>IF($J$94=0,"",$J$94)</f>
        <v/>
      </c>
      <c r="AK94" s="1893" t="str">
        <f>IF($K$94="нет","без дифференциации",IF($N$94=0,"",$N$94))</f>
        <v/>
      </c>
      <c r="AL94" s="1893" t="str">
        <f>IF($O$94="нет","без дифференциации",IF($R$94=0,"",$R$94))</f>
        <v/>
      </c>
      <c r="AM94" s="1893" t="str">
        <f>IF($S$94="нет","без дифференциации",IF($V$94=0,"",$V$94))</f>
        <v/>
      </c>
      <c r="AN94" s="2398">
        <f>$I$94</f>
        <v>0</v>
      </c>
      <c r="AO94" s="1893" t="str">
        <f>$I$94&amp;"."&amp;$M$94</f>
        <v>.</v>
      </c>
      <c r="AP94" s="1885" t="str">
        <f>$I$94&amp;"."&amp;$M$94&amp;"."&amp;$Q$94</f>
        <v>..</v>
      </c>
      <c r="AQ94" s="1885" t="str">
        <f>$I$94&amp;"."&amp;$M$94&amp;"."&amp;$Q$94&amp;"."&amp;$U$94</f>
        <v>...</v>
      </c>
      <c r="AR94" s="1976">
        <v>0</v>
      </c>
    </row>
    <row s="34794" customFormat="1" customHeight="1" ht="17.25" hidden="1">
      <c r="A95" s="947"/>
      <c r="C95" s="946"/>
      <c r="D95" s="2761"/>
      <c r="E95" s="2769"/>
      <c r="F95" s="2772"/>
      <c r="G95" s="2769"/>
      <c r="H95" s="2775"/>
      <c r="I95" s="2777"/>
      <c r="J95" s="2779"/>
      <c r="K95" s="2764"/>
      <c r="L95" s="2764"/>
      <c r="M95" s="2764"/>
      <c r="N95" s="2766"/>
      <c r="O95" s="2764"/>
      <c r="P95" s="2764"/>
      <c r="Q95" s="2764"/>
      <c r="R95" s="2767"/>
      <c r="S95" s="2764"/>
      <c r="T95" s="1923"/>
      <c r="U95" s="1923"/>
      <c r="V95" s="1923"/>
      <c r="W95" s="1924"/>
      <c r="X95" s="1885"/>
      <c r="Y95" s="1885"/>
      <c r="Z95" s="1885"/>
      <c r="AA95" s="1885"/>
      <c r="AB95" s="1885"/>
      <c r="AC95" s="1885"/>
      <c r="AD95" s="1885"/>
      <c r="AE95" s="1885"/>
      <c r="AF95" s="1885"/>
      <c r="AG95" s="1885"/>
      <c r="AH95" s="1885"/>
      <c r="AI95" s="1885"/>
      <c r="AJ95" s="1885"/>
      <c r="AK95" s="1885"/>
      <c r="AL95" s="1885"/>
      <c r="AM95" s="1885"/>
      <c r="AN95" s="1885"/>
      <c r="AO95" s="1885"/>
      <c r="AP95" s="1885"/>
      <c r="AQ95" s="1885"/>
      <c r="AR95" s="1976">
        <v>0</v>
      </c>
    </row>
    <row s="34794" customFormat="1" customHeight="1" ht="17.25" hidden="1">
      <c r="A96" s="947"/>
      <c r="C96" s="946"/>
      <c r="D96" s="2762"/>
      <c r="E96" s="2770"/>
      <c r="F96" s="2772"/>
      <c r="G96" s="2770"/>
      <c r="H96" s="2775"/>
      <c r="I96" s="2777"/>
      <c r="J96" s="2780"/>
      <c r="K96" s="2764"/>
      <c r="L96" s="2764"/>
      <c r="M96" s="2764"/>
      <c r="N96" s="2767"/>
      <c r="O96" s="2764"/>
      <c r="P96" s="2070"/>
      <c r="Q96" s="1923"/>
      <c r="R96" s="1923"/>
      <c r="S96" s="955"/>
      <c r="T96" s="955"/>
      <c r="U96" s="955"/>
      <c r="V96" s="955"/>
      <c r="W96" s="1924"/>
      <c r="X96" s="1885"/>
      <c r="Y96" s="1885"/>
      <c r="Z96" s="1885"/>
      <c r="AA96" s="1885"/>
      <c r="AB96" s="1885"/>
      <c r="AC96" s="1885"/>
      <c r="AD96" s="1885"/>
      <c r="AE96" s="1885"/>
      <c r="AF96" s="1885"/>
      <c r="AG96" s="1885"/>
      <c r="AH96" s="1885"/>
      <c r="AI96" s="1885"/>
      <c r="AJ96" s="1885"/>
      <c r="AK96" s="1885"/>
      <c r="AL96" s="1885"/>
      <c r="AM96" s="1885"/>
      <c r="AN96" s="1885"/>
      <c r="AO96" s="1885"/>
      <c r="AP96" s="1885"/>
      <c r="AQ96" s="1885"/>
      <c r="AR96" s="1976">
        <v>0</v>
      </c>
    </row>
    <row s="34794" customFormat="1" customHeight="1" ht="17.25" hidden="1">
      <c r="A97" s="947"/>
      <c r="C97" s="946"/>
      <c r="D97" s="2762"/>
      <c r="E97" s="2770"/>
      <c r="F97" s="2772"/>
      <c r="G97" s="2770"/>
      <c r="H97" s="2775"/>
      <c r="I97" s="2777"/>
      <c r="J97" s="2780"/>
      <c r="K97" s="2764"/>
      <c r="L97" s="1923"/>
      <c r="M97" s="1923"/>
      <c r="N97" s="1923"/>
      <c r="O97" s="1923"/>
      <c r="P97" s="1923"/>
      <c r="Q97" s="1923"/>
      <c r="R97" s="1923"/>
      <c r="S97" s="955"/>
      <c r="T97" s="955"/>
      <c r="U97" s="955"/>
      <c r="V97" s="955"/>
      <c r="W97" s="1924"/>
      <c r="X97" s="1885"/>
      <c r="Y97" s="1885"/>
      <c r="Z97" s="1885"/>
      <c r="AA97" s="1885"/>
      <c r="AB97" s="1885"/>
      <c r="AC97" s="1885"/>
      <c r="AD97" s="1885"/>
      <c r="AE97" s="1885"/>
      <c r="AF97" s="1885"/>
      <c r="AG97" s="1885"/>
      <c r="AH97" s="1885"/>
      <c r="AI97" s="1885"/>
      <c r="AJ97" s="1885"/>
      <c r="AK97" s="1885"/>
      <c r="AL97" s="1885"/>
      <c r="AM97" s="1885"/>
      <c r="AN97" s="1885"/>
      <c r="AO97" s="1885"/>
      <c r="AP97" s="1885"/>
      <c r="AQ97" s="1885"/>
      <c r="AR97" s="1976">
        <v>0</v>
      </c>
    </row>
    <row s="34794" customFormat="1" customHeight="1" ht="17.25" hidden="1">
      <c r="A98" s="947"/>
      <c r="C98" s="946"/>
      <c r="D98" s="2762"/>
      <c r="E98" s="2770"/>
      <c r="F98" s="2773"/>
      <c r="G98" s="2770"/>
      <c r="H98" s="1925"/>
      <c r="I98" s="1926"/>
      <c r="J98" s="1926"/>
      <c r="K98" s="1926"/>
      <c r="L98" s="1926"/>
      <c r="M98" s="1926"/>
      <c r="N98" s="1926"/>
      <c r="O98" s="1926"/>
      <c r="P98" s="1926"/>
      <c r="Q98" s="1926"/>
      <c r="R98" s="1926"/>
      <c r="S98" s="1927"/>
      <c r="T98" s="1927"/>
      <c r="U98" s="1927"/>
      <c r="V98" s="1927"/>
      <c r="W98" s="1928"/>
      <c r="X98" s="1885"/>
      <c r="Y98" s="1885"/>
      <c r="Z98" s="1885"/>
      <c r="AA98" s="1885"/>
      <c r="AB98" s="1885"/>
      <c r="AC98" s="1885"/>
      <c r="AD98" s="1885"/>
      <c r="AE98" s="1885"/>
      <c r="AF98" s="1885"/>
      <c r="AG98" s="1885"/>
      <c r="AH98" s="1885"/>
      <c r="AI98" s="1885"/>
      <c r="AJ98" s="1885"/>
      <c r="AK98" s="1885"/>
      <c r="AL98" s="1885"/>
      <c r="AM98" s="1885"/>
      <c r="AN98" s="1885"/>
      <c r="AO98" s="1885"/>
      <c r="AP98" s="1885"/>
      <c r="AQ98" s="1885"/>
      <c r="AR98" s="1976">
        <v>0</v>
      </c>
    </row>
    <row s="34794" customFormat="1" customHeight="1" ht="17.25" hidden="1">
      <c r="A99" s="947"/>
      <c r="C99" s="835"/>
      <c r="D99" s="2761">
        <v>5</v>
      </c>
      <c r="E99" s="2769" t="s">
        <v>262</v>
      </c>
      <c r="F99" s="2771" t="s">
        <v>19</v>
      </c>
      <c r="G99" s="2769"/>
      <c r="H99" s="2774"/>
      <c r="I99" s="2776"/>
      <c r="J99" s="2778"/>
      <c r="K99" s="2763"/>
      <c r="L99" s="2763"/>
      <c r="M99" s="2763"/>
      <c r="N99" s="2765"/>
      <c r="O99" s="2763"/>
      <c r="P99" s="2763"/>
      <c r="Q99" s="2763"/>
      <c r="R99" s="2768"/>
      <c r="S99" s="2763"/>
      <c r="T99" s="2569"/>
      <c r="U99" s="2569"/>
      <c r="V99" s="2571"/>
      <c r="W99" s="1922"/>
      <c r="X99" s="1893"/>
      <c r="Y99" s="1893"/>
      <c r="Z99" s="1893"/>
      <c r="AA99" s="1893"/>
      <c r="AB99" s="1893"/>
      <c r="AC99" s="1893" t="s">
        <v>263</v>
      </c>
      <c r="AD99" s="1893" t="s">
        <v>264</v>
      </c>
      <c r="AE99" s="1893" t="s">
        <v>265</v>
      </c>
      <c r="AF99" s="1893" t="s">
        <v>266</v>
      </c>
      <c r="AG99" s="1893"/>
      <c r="AH99" s="1893" t="str">
        <f>IF($E$99=0,"",$E$99)</f>
        <v>Тариф на подключение (технологическое присоединение) к централизованной системе холодного водоснабжения</v>
      </c>
      <c r="AI99" s="1893" t="str">
        <f>IF($G$99=0,"",$G$99)</f>
        <v/>
      </c>
      <c r="AJ99" s="1893" t="str">
        <f>IF($J$99=0,"",$J$99)</f>
        <v/>
      </c>
      <c r="AK99" s="1893" t="str">
        <f>IF($K$99="нет","без дифференциации",IF($N$99=0,"",$N$99))</f>
        <v/>
      </c>
      <c r="AL99" s="1893" t="str">
        <f>IF($O$99="нет","без дифференциации",IF($R$99=0,"",$R$99))</f>
        <v/>
      </c>
      <c r="AM99" s="1893" t="str">
        <f>IF($S$99="нет","без дифференциации",IF($V$99=0,"",$V$99))</f>
        <v/>
      </c>
      <c r="AN99" s="2398">
        <f>$I$99</f>
        <v>0</v>
      </c>
      <c r="AO99" s="1893" t="str">
        <f>$I$99&amp;"."&amp;$M$99</f>
        <v>.</v>
      </c>
      <c r="AP99" s="1892" t="str">
        <f>$I$99&amp;"."&amp;$M$99&amp;"."&amp;$Q$99</f>
        <v>..</v>
      </c>
      <c r="AQ99" s="1892" t="str">
        <f>$I$99&amp;"."&amp;$M$99&amp;"."&amp;$Q$99&amp;"."&amp;$U$99</f>
        <v>...</v>
      </c>
      <c r="AR99" s="2093">
        <v>0</v>
      </c>
    </row>
    <row s="34794" customFormat="1" customHeight="1" ht="17.25" hidden="1">
      <c r="A100" s="947"/>
      <c r="C100" s="946"/>
      <c r="D100" s="2761"/>
      <c r="E100" s="2769"/>
      <c r="F100" s="2772"/>
      <c r="G100" s="2769"/>
      <c r="H100" s="2775"/>
      <c r="I100" s="2777"/>
      <c r="J100" s="2779"/>
      <c r="K100" s="2764"/>
      <c r="L100" s="2764"/>
      <c r="M100" s="2764"/>
      <c r="N100" s="2766"/>
      <c r="O100" s="2764"/>
      <c r="P100" s="2764"/>
      <c r="Q100" s="2764"/>
      <c r="R100" s="2767"/>
      <c r="S100" s="2764"/>
      <c r="T100" s="2574"/>
      <c r="U100" s="2574"/>
      <c r="V100" s="2574"/>
      <c r="W100" s="2575"/>
      <c r="X100" s="189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2093">
        <v>0</v>
      </c>
    </row>
    <row s="34794" customFormat="1" customHeight="1" ht="17.25" hidden="1">
      <c r="A101" s="947"/>
      <c r="C101" s="946"/>
      <c r="D101" s="2762"/>
      <c r="E101" s="2770"/>
      <c r="F101" s="2772"/>
      <c r="G101" s="2770"/>
      <c r="H101" s="2775"/>
      <c r="I101" s="2777"/>
      <c r="J101" s="2780"/>
      <c r="K101" s="2764"/>
      <c r="L101" s="2764"/>
      <c r="M101" s="2764"/>
      <c r="N101" s="2767"/>
      <c r="O101" s="2764"/>
      <c r="P101" s="2570"/>
      <c r="Q101" s="2574"/>
      <c r="R101" s="2574"/>
      <c r="S101" s="955"/>
      <c r="T101" s="955"/>
      <c r="U101" s="955"/>
      <c r="V101" s="955"/>
      <c r="W101" s="2575"/>
      <c r="X101" s="1892"/>
      <c r="Y101" s="1892"/>
      <c r="Z101" s="1892"/>
      <c r="AA101" s="1892"/>
      <c r="AB101" s="1892"/>
      <c r="AC101" s="1892"/>
      <c r="AD101" s="1892"/>
      <c r="AE101" s="1892"/>
      <c r="AF101" s="1892"/>
      <c r="AG101" s="1892"/>
      <c r="AH101" s="1892"/>
      <c r="AI101" s="1892"/>
      <c r="AJ101" s="1892"/>
      <c r="AK101" s="1892"/>
      <c r="AL101" s="1892"/>
      <c r="AM101" s="1892"/>
      <c r="AN101" s="1892"/>
      <c r="AO101" s="1892"/>
      <c r="AP101" s="1892"/>
      <c r="AQ101" s="1892"/>
      <c r="AR101" s="2093">
        <v>0</v>
      </c>
    </row>
    <row s="34794" customFormat="1" customHeight="1" ht="17.25" hidden="1">
      <c r="A102" s="947"/>
      <c r="C102" s="946"/>
      <c r="D102" s="2762"/>
      <c r="E102" s="2770"/>
      <c r="F102" s="2772"/>
      <c r="G102" s="2770"/>
      <c r="H102" s="2775"/>
      <c r="I102" s="2777"/>
      <c r="J102" s="2780"/>
      <c r="K102" s="2764"/>
      <c r="L102" s="2574"/>
      <c r="M102" s="2574"/>
      <c r="N102" s="2574"/>
      <c r="O102" s="2574"/>
      <c r="P102" s="2574"/>
      <c r="Q102" s="2574"/>
      <c r="R102" s="2574"/>
      <c r="S102" s="955"/>
      <c r="T102" s="955"/>
      <c r="U102" s="955"/>
      <c r="V102" s="955"/>
      <c r="W102" s="2575"/>
      <c r="X102" s="1892"/>
      <c r="Y102" s="1892"/>
      <c r="Z102" s="1892"/>
      <c r="AA102" s="1892"/>
      <c r="AB102" s="1892"/>
      <c r="AC102" s="1892"/>
      <c r="AD102" s="1892"/>
      <c r="AE102" s="1892"/>
      <c r="AF102" s="1892"/>
      <c r="AG102" s="1892"/>
      <c r="AH102" s="1892"/>
      <c r="AI102" s="1892"/>
      <c r="AJ102" s="1892"/>
      <c r="AK102" s="1892"/>
      <c r="AL102" s="1892"/>
      <c r="AM102" s="1892"/>
      <c r="AN102" s="1892"/>
      <c r="AO102" s="1892"/>
      <c r="AP102" s="1892"/>
      <c r="AQ102" s="1892"/>
      <c r="AR102" s="2093">
        <v>0</v>
      </c>
    </row>
    <row s="34794" customFormat="1" customHeight="1" ht="17.25" hidden="1">
      <c r="A103" s="947"/>
      <c r="C103" s="946"/>
      <c r="D103" s="2762"/>
      <c r="E103" s="2770"/>
      <c r="F103" s="2773"/>
      <c r="G103" s="2770"/>
      <c r="H103" s="1925"/>
      <c r="I103" s="2572"/>
      <c r="J103" s="2572"/>
      <c r="K103" s="2572"/>
      <c r="L103" s="2572"/>
      <c r="M103" s="2572"/>
      <c r="N103" s="2572"/>
      <c r="O103" s="2572"/>
      <c r="P103" s="2572"/>
      <c r="Q103" s="2572"/>
      <c r="R103" s="2572"/>
      <c r="S103" s="1927"/>
      <c r="T103" s="1927"/>
      <c r="U103" s="1927"/>
      <c r="V103" s="1927"/>
      <c r="W103" s="2573"/>
      <c r="X103" s="1892"/>
      <c r="Y103" s="1892"/>
      <c r="Z103" s="1892"/>
      <c r="AA103" s="1892"/>
      <c r="AB103" s="1892"/>
      <c r="AC103" s="1892"/>
      <c r="AD103" s="1892"/>
      <c r="AE103" s="1892"/>
      <c r="AF103" s="1892"/>
      <c r="AG103" s="1892"/>
      <c r="AH103" s="1892"/>
      <c r="AI103" s="1892"/>
      <c r="AJ103" s="1892"/>
      <c r="AK103" s="1892"/>
      <c r="AL103" s="1892"/>
      <c r="AM103" s="1892"/>
      <c r="AN103" s="1892"/>
      <c r="AO103" s="1892"/>
      <c r="AP103" s="1892"/>
      <c r="AQ103" s="1892"/>
      <c r="AR103" s="2093">
        <v>0</v>
      </c>
    </row>
    <row s="34794" customFormat="1" customHeight="1" ht="11.25" hidden="1">
      <c r="A104" s="903"/>
      <c r="B104" s="903"/>
      <c r="Y104" s="1885"/>
      <c r="Z104" s="1885"/>
      <c r="AA104" s="1885"/>
      <c r="AB104" s="1885"/>
      <c r="AC104" s="1885"/>
      <c r="AD104" s="1885"/>
      <c r="AE104" s="1885"/>
      <c r="AF104" s="1885"/>
      <c r="AG104" s="1885"/>
      <c r="AH104" s="1885"/>
      <c r="AI104" s="1885"/>
      <c r="AJ104" s="1885"/>
      <c r="AK104" s="1885"/>
      <c r="AL104" s="1885"/>
      <c r="AM104" s="1885"/>
      <c r="AN104" s="1885"/>
      <c r="AO104" s="1885"/>
      <c r="AP104" s="1885"/>
      <c r="AQ104" s="1885"/>
      <c r="AR104" s="2093">
        <v>0</v>
      </c>
    </row>
    <row s="34794" customFormat="1" customHeight="1" ht="17.25" hidden="1">
      <c r="A105" s="947"/>
      <c r="C105" s="835"/>
      <c r="D105" s="2761">
        <v>1</v>
      </c>
      <c r="E105" s="2769" t="s">
        <v>267</v>
      </c>
      <c r="F105" s="2771" t="s">
        <v>19</v>
      </c>
      <c r="G105" s="2769"/>
      <c r="H105" s="2774"/>
      <c r="I105" s="2776"/>
      <c r="J105" s="2778"/>
      <c r="K105" s="2763"/>
      <c r="L105" s="2763"/>
      <c r="M105" s="2763"/>
      <c r="N105" s="2765"/>
      <c r="O105" s="2763"/>
      <c r="P105" s="2763"/>
      <c r="Q105" s="2763"/>
      <c r="R105" s="2768"/>
      <c r="S105" s="2763"/>
      <c r="T105" s="2096"/>
      <c r="U105" s="2096"/>
      <c r="V105" s="2098"/>
      <c r="W105" s="1922"/>
      <c r="Y105" s="1893"/>
      <c r="Z105" s="1893"/>
      <c r="AA105" s="1893"/>
      <c r="AB105" s="1893"/>
      <c r="AC105" s="1893" t="s">
        <v>268</v>
      </c>
      <c r="AD105" s="1893" t="s">
        <v>269</v>
      </c>
      <c r="AE105" s="1893" t="s">
        <v>270</v>
      </c>
      <c r="AF105" s="1893" t="s">
        <v>271</v>
      </c>
      <c r="AG105" s="1893"/>
      <c r="AH105" s="1893" t="str">
        <f>IF($E$105=0,"",$E$105)</f>
        <v>Тариф на горячую воду (горячее водоснабжение)</v>
      </c>
      <c r="AI105" s="1893" t="str">
        <f>IF($G$105=0,"",$G$105)</f>
        <v/>
      </c>
      <c r="AJ105" s="1893" t="str">
        <f>IF($J$105=0,"",$J$105)</f>
        <v/>
      </c>
      <c r="AK105" s="1893" t="str">
        <f>IF($K$105="нет","без дифференциации",IF($N$105=0,"",$N$105))</f>
        <v/>
      </c>
      <c r="AL105" s="1893" t="str">
        <f>IF($O$105="нет","без дифференциации",IF($R$105=0,"",$R$105))</f>
        <v/>
      </c>
      <c r="AM105" s="1893" t="str">
        <f>IF($S$105="нет","без дифференциации",IF($V$105=0,"",$V$105))</f>
        <v/>
      </c>
      <c r="AN105" s="1893">
        <f>$I$105</f>
        <v>0</v>
      </c>
      <c r="AO105" s="1893" t="str">
        <f>$I$105&amp;"."&amp;$M$105</f>
        <v>.</v>
      </c>
      <c r="AP105" s="1893" t="str">
        <f>$I$105&amp;"."&amp;$M$105&amp;"."&amp;$Q$105</f>
        <v>..</v>
      </c>
      <c r="AQ105" s="1893" t="str">
        <f>$I$105&amp;"."&amp;$M$105&amp;"."&amp;$Q$105&amp;"."&amp;$U$105</f>
        <v>...</v>
      </c>
      <c r="AR105" s="2093">
        <v>0</v>
      </c>
    </row>
    <row s="34794" customFormat="1" customHeight="1" ht="17.25" hidden="1">
      <c r="A106" s="947"/>
      <c r="C106" s="946"/>
      <c r="D106" s="2761"/>
      <c r="E106" s="2769"/>
      <c r="F106" s="2772"/>
      <c r="G106" s="2769"/>
      <c r="H106" s="2775"/>
      <c r="I106" s="2777"/>
      <c r="J106" s="2779"/>
      <c r="K106" s="2764"/>
      <c r="L106" s="2764"/>
      <c r="M106" s="2764"/>
      <c r="N106" s="2766"/>
      <c r="O106" s="2764"/>
      <c r="P106" s="2764"/>
      <c r="Q106" s="2764"/>
      <c r="R106" s="2767"/>
      <c r="S106" s="2764"/>
      <c r="T106" s="1923"/>
      <c r="U106" s="1923"/>
      <c r="V106" s="1923"/>
      <c r="W106" s="1924"/>
      <c r="Y106" s="1885"/>
      <c r="Z106" s="1885"/>
      <c r="AA106" s="1885"/>
      <c r="AB106" s="1885"/>
      <c r="AC106" s="1885"/>
      <c r="AD106" s="1885"/>
      <c r="AE106" s="1885"/>
      <c r="AF106" s="1885"/>
      <c r="AG106" s="1885"/>
      <c r="AH106" s="1885"/>
      <c r="AI106" s="1885"/>
      <c r="AJ106" s="1885"/>
      <c r="AK106" s="1885"/>
      <c r="AL106" s="1885"/>
      <c r="AM106" s="1885"/>
      <c r="AN106" s="1885"/>
      <c r="AO106" s="1885"/>
      <c r="AP106" s="1885"/>
      <c r="AQ106" s="1885"/>
      <c r="AR106" s="2093">
        <v>0</v>
      </c>
    </row>
    <row s="34794" customFormat="1" customHeight="1" ht="17.25" hidden="1">
      <c r="A107" s="947"/>
      <c r="C107" s="835"/>
      <c r="D107" s="2761"/>
      <c r="E107" s="2769"/>
      <c r="F107" s="2772"/>
      <c r="G107" s="2769"/>
      <c r="H107" s="2775"/>
      <c r="I107" s="2777"/>
      <c r="J107" s="2780"/>
      <c r="K107" s="2764"/>
      <c r="L107" s="2764"/>
      <c r="M107" s="2764"/>
      <c r="N107" s="2767"/>
      <c r="O107" s="2764"/>
      <c r="P107" s="2097"/>
      <c r="Q107" s="1923"/>
      <c r="R107" s="1923"/>
      <c r="S107" s="955"/>
      <c r="T107" s="955"/>
      <c r="U107" s="955"/>
      <c r="V107" s="955"/>
      <c r="W107" s="1924"/>
      <c r="Y107" s="1893"/>
      <c r="Z107" s="1893"/>
      <c r="AA107" s="1893"/>
      <c r="AB107" s="1893"/>
      <c r="AC107" s="1893"/>
      <c r="AD107" s="1893"/>
      <c r="AE107" s="1893"/>
      <c r="AF107" s="1893"/>
      <c r="AG107" s="1893"/>
      <c r="AH107" s="1893"/>
      <c r="AI107" s="1893"/>
      <c r="AJ107" s="1893"/>
      <c r="AK107" s="1893"/>
      <c r="AL107" s="1893"/>
      <c r="AM107" s="1893"/>
      <c r="AN107" s="1893"/>
      <c r="AO107" s="1893"/>
      <c r="AP107" s="1893"/>
      <c r="AQ107" s="1893"/>
      <c r="AR107" s="2093">
        <v>0</v>
      </c>
    </row>
    <row s="34794" customFormat="1" customHeight="1" ht="17.25" hidden="1">
      <c r="A108" s="947"/>
      <c r="C108" s="946"/>
      <c r="D108" s="2761"/>
      <c r="E108" s="2769"/>
      <c r="F108" s="2772"/>
      <c r="G108" s="2769"/>
      <c r="H108" s="2775"/>
      <c r="I108" s="2777"/>
      <c r="J108" s="2780"/>
      <c r="K108" s="2764"/>
      <c r="L108" s="1923"/>
      <c r="M108" s="1923"/>
      <c r="N108" s="1923"/>
      <c r="O108" s="1923"/>
      <c r="P108" s="1923"/>
      <c r="Q108" s="1923"/>
      <c r="R108" s="1923"/>
      <c r="S108" s="955"/>
      <c r="T108" s="955"/>
      <c r="U108" s="955"/>
      <c r="V108" s="955"/>
      <c r="W108" s="1924"/>
      <c r="Y108" s="1885"/>
      <c r="Z108" s="1885"/>
      <c r="AA108" s="1885"/>
      <c r="AB108" s="1885"/>
      <c r="AC108" s="1885"/>
      <c r="AD108" s="1885"/>
      <c r="AE108" s="1885"/>
      <c r="AF108" s="1885"/>
      <c r="AG108" s="1885"/>
      <c r="AH108" s="1885"/>
      <c r="AI108" s="1885"/>
      <c r="AJ108" s="1885"/>
      <c r="AK108" s="1885"/>
      <c r="AL108" s="1885"/>
      <c r="AM108" s="1885"/>
      <c r="AN108" s="1885"/>
      <c r="AO108" s="1885"/>
      <c r="AP108" s="1885"/>
      <c r="AQ108" s="1885"/>
      <c r="AR108" s="2093">
        <v>0</v>
      </c>
    </row>
    <row s="34794" customFormat="1" customHeight="1" ht="17.25" hidden="1">
      <c r="A109" s="947"/>
      <c r="C109" s="946"/>
      <c r="D109" s="2762"/>
      <c r="E109" s="2770"/>
      <c r="F109" s="2773"/>
      <c r="G109" s="2770"/>
      <c r="H109" s="1925"/>
      <c r="I109" s="1926"/>
      <c r="J109" s="1926"/>
      <c r="K109" s="1926"/>
      <c r="L109" s="1926"/>
      <c r="M109" s="1926"/>
      <c r="N109" s="1926"/>
      <c r="O109" s="1926"/>
      <c r="P109" s="1926"/>
      <c r="Q109" s="1926"/>
      <c r="R109" s="1926"/>
      <c r="S109" s="1927"/>
      <c r="T109" s="1927"/>
      <c r="U109" s="1927"/>
      <c r="V109" s="1927"/>
      <c r="W109" s="1928"/>
      <c r="Y109" s="1885"/>
      <c r="Z109" s="1885"/>
      <c r="AA109" s="1885"/>
      <c r="AB109" s="1885"/>
      <c r="AC109" s="1885"/>
      <c r="AD109" s="1885"/>
      <c r="AE109" s="1885"/>
      <c r="AF109" s="1885"/>
      <c r="AG109" s="1885"/>
      <c r="AH109" s="1885"/>
      <c r="AI109" s="1885"/>
      <c r="AJ109" s="1885"/>
      <c r="AK109" s="1885"/>
      <c r="AL109" s="1885"/>
      <c r="AM109" s="1885"/>
      <c r="AN109" s="1885"/>
      <c r="AO109" s="1885"/>
      <c r="AP109" s="1885"/>
      <c r="AQ109" s="1885"/>
      <c r="AR109" s="2093">
        <v>0</v>
      </c>
    </row>
    <row s="34794" customFormat="1" customHeight="1" ht="17.25" hidden="1">
      <c r="A110" s="947"/>
      <c r="C110" s="835"/>
      <c r="D110" s="2761">
        <v>2</v>
      </c>
      <c r="E110" s="2769" t="s">
        <v>272</v>
      </c>
      <c r="F110" s="2771" t="s">
        <v>19</v>
      </c>
      <c r="G110" s="2769"/>
      <c r="H110" s="2774"/>
      <c r="I110" s="2776"/>
      <c r="J110" s="2778"/>
      <c r="K110" s="2763"/>
      <c r="L110" s="2763"/>
      <c r="M110" s="2763"/>
      <c r="N110" s="2765"/>
      <c r="O110" s="2763"/>
      <c r="P110" s="2763"/>
      <c r="Q110" s="2763"/>
      <c r="R110" s="2768"/>
      <c r="S110" s="2763"/>
      <c r="T110" s="2096"/>
      <c r="U110" s="2096"/>
      <c r="V110" s="2098"/>
      <c r="W110" s="1922"/>
      <c r="X110" s="1893"/>
      <c r="Y110" s="1893"/>
      <c r="Z110" s="1893"/>
      <c r="AA110" s="1893"/>
      <c r="AB110" s="1893"/>
      <c r="AC110" s="1893" t="s">
        <v>273</v>
      </c>
      <c r="AD110" s="1893" t="s">
        <v>274</v>
      </c>
      <c r="AE110" s="1893" t="s">
        <v>275</v>
      </c>
      <c r="AF110" s="1893" t="s">
        <v>276</v>
      </c>
      <c r="AG110" s="1893"/>
      <c r="AH110" s="1893" t="str">
        <f>IF($E$110=0,"",$E$110)</f>
        <v>Тариф на транспортировку горячей воды</v>
      </c>
      <c r="AI110" s="1893" t="str">
        <f>IF($G$110=0,"",$G$110)</f>
        <v/>
      </c>
      <c r="AJ110" s="1893" t="str">
        <f>IF($J$110=0,"",$J$110)</f>
        <v/>
      </c>
      <c r="AK110" s="1893" t="str">
        <f>IF($K$110="нет","без дифференциации",IF($N$110=0,"",$N$110))</f>
        <v/>
      </c>
      <c r="AL110" s="1893" t="str">
        <f>IF($O$110="нет","без дифференциации",IF($R$110=0,"",$R$110))</f>
        <v/>
      </c>
      <c r="AM110" s="1893" t="str">
        <f>IF($S$110="нет","без дифференциации",IF($V$110=0,"",$V$110))</f>
        <v/>
      </c>
      <c r="AN110" s="2398">
        <f>$I$110</f>
        <v>0</v>
      </c>
      <c r="AO110" s="1893" t="str">
        <f>$I$110&amp;"."&amp;$M$110</f>
        <v>.</v>
      </c>
      <c r="AP110" s="1885" t="str">
        <f>$I$110&amp;"."&amp;$M$110&amp;"."&amp;$Q$110</f>
        <v>..</v>
      </c>
      <c r="AQ110" s="1885" t="str">
        <f>$I$110&amp;"."&amp;$M$110&amp;"."&amp;$Q$110&amp;"."&amp;$U$110</f>
        <v>...</v>
      </c>
      <c r="AR110" s="2093">
        <v>0</v>
      </c>
    </row>
    <row s="34794" customFormat="1" customHeight="1" ht="17.25" hidden="1">
      <c r="A111" s="947"/>
      <c r="C111" s="946"/>
      <c r="D111" s="2761"/>
      <c r="E111" s="2769"/>
      <c r="F111" s="2772"/>
      <c r="G111" s="2769"/>
      <c r="H111" s="2775"/>
      <c r="I111" s="2777"/>
      <c r="J111" s="2779"/>
      <c r="K111" s="2764"/>
      <c r="L111" s="2764"/>
      <c r="M111" s="2764"/>
      <c r="N111" s="2766"/>
      <c r="O111" s="2764"/>
      <c r="P111" s="2764"/>
      <c r="Q111" s="2764"/>
      <c r="R111" s="2767"/>
      <c r="S111" s="2764"/>
      <c r="T111" s="1923"/>
      <c r="U111" s="1923"/>
      <c r="V111" s="1923"/>
      <c r="W111" s="1924"/>
      <c r="X111" s="1885"/>
      <c r="Y111" s="1885"/>
      <c r="Z111" s="1885"/>
      <c r="AA111" s="1885"/>
      <c r="AB111" s="1885"/>
      <c r="AC111" s="1885"/>
      <c r="AD111" s="1885"/>
      <c r="AE111" s="1885"/>
      <c r="AF111" s="1885"/>
      <c r="AG111" s="1885"/>
      <c r="AH111" s="1885"/>
      <c r="AI111" s="1885"/>
      <c r="AJ111" s="1885"/>
      <c r="AK111" s="1885"/>
      <c r="AL111" s="1885"/>
      <c r="AM111" s="1885"/>
      <c r="AN111" s="1885"/>
      <c r="AO111" s="1885"/>
      <c r="AP111" s="1885"/>
      <c r="AQ111" s="1885"/>
      <c r="AR111" s="2093">
        <v>0</v>
      </c>
    </row>
    <row s="34794" customFormat="1" customHeight="1" ht="17.25" hidden="1">
      <c r="A112" s="947"/>
      <c r="C112" s="946"/>
      <c r="D112" s="2762"/>
      <c r="E112" s="2770"/>
      <c r="F112" s="2772"/>
      <c r="G112" s="2770"/>
      <c r="H112" s="2775"/>
      <c r="I112" s="2777"/>
      <c r="J112" s="2780"/>
      <c r="K112" s="2764"/>
      <c r="L112" s="2764"/>
      <c r="M112" s="2764"/>
      <c r="N112" s="2767"/>
      <c r="O112" s="2764"/>
      <c r="P112" s="2097"/>
      <c r="Q112" s="1923"/>
      <c r="R112" s="1923"/>
      <c r="S112" s="955"/>
      <c r="T112" s="955"/>
      <c r="U112" s="955"/>
      <c r="V112" s="955"/>
      <c r="W112" s="1924"/>
      <c r="X112" s="1885"/>
      <c r="Y112" s="1885"/>
      <c r="Z112" s="1885"/>
      <c r="AA112" s="1885"/>
      <c r="AB112" s="1885"/>
      <c r="AC112" s="1885"/>
      <c r="AD112" s="1885"/>
      <c r="AE112" s="1885"/>
      <c r="AF112" s="1885"/>
      <c r="AG112" s="1885"/>
      <c r="AH112" s="1885"/>
      <c r="AI112" s="1885"/>
      <c r="AJ112" s="1885"/>
      <c r="AK112" s="1885"/>
      <c r="AL112" s="1885"/>
      <c r="AM112" s="1885"/>
      <c r="AN112" s="1885"/>
      <c r="AO112" s="1885"/>
      <c r="AP112" s="1885"/>
      <c r="AQ112" s="1885"/>
      <c r="AR112" s="2093">
        <v>0</v>
      </c>
    </row>
    <row s="34794" customFormat="1" customHeight="1" ht="17.25" hidden="1">
      <c r="A113" s="947"/>
      <c r="C113" s="946"/>
      <c r="D113" s="2762"/>
      <c r="E113" s="2770"/>
      <c r="F113" s="2772"/>
      <c r="G113" s="2770"/>
      <c r="H113" s="2775"/>
      <c r="I113" s="2777"/>
      <c r="J113" s="2780"/>
      <c r="K113" s="2764"/>
      <c r="L113" s="1923"/>
      <c r="M113" s="1923"/>
      <c r="N113" s="1923"/>
      <c r="O113" s="1923"/>
      <c r="P113" s="1923"/>
      <c r="Q113" s="1923"/>
      <c r="R113" s="1923"/>
      <c r="S113" s="955"/>
      <c r="T113" s="955"/>
      <c r="U113" s="955"/>
      <c r="V113" s="955"/>
      <c r="W113" s="1924"/>
      <c r="X113" s="1885"/>
      <c r="Y113" s="1885"/>
      <c r="Z113" s="1885"/>
      <c r="AA113" s="1885"/>
      <c r="AB113" s="1885"/>
      <c r="AC113" s="1885"/>
      <c r="AD113" s="1885"/>
      <c r="AE113" s="1885"/>
      <c r="AF113" s="1885"/>
      <c r="AG113" s="1885"/>
      <c r="AH113" s="1885"/>
      <c r="AI113" s="1885"/>
      <c r="AJ113" s="1885"/>
      <c r="AK113" s="1885"/>
      <c r="AL113" s="1885"/>
      <c r="AM113" s="1885"/>
      <c r="AN113" s="1885"/>
      <c r="AO113" s="1885"/>
      <c r="AP113" s="1885"/>
      <c r="AQ113" s="1885"/>
      <c r="AR113" s="2093">
        <v>0</v>
      </c>
    </row>
    <row s="34794" customFormat="1" customHeight="1" ht="17.25" hidden="1">
      <c r="A114" s="947"/>
      <c r="C114" s="946"/>
      <c r="D114" s="2762"/>
      <c r="E114" s="2770"/>
      <c r="F114" s="2773"/>
      <c r="G114" s="2770"/>
      <c r="H114" s="1925"/>
      <c r="I114" s="1926"/>
      <c r="J114" s="1926"/>
      <c r="K114" s="1926"/>
      <c r="L114" s="1926"/>
      <c r="M114" s="1926"/>
      <c r="N114" s="1926"/>
      <c r="O114" s="1926"/>
      <c r="P114" s="1926"/>
      <c r="Q114" s="1926"/>
      <c r="R114" s="1926"/>
      <c r="S114" s="1927"/>
      <c r="T114" s="1927"/>
      <c r="U114" s="1927"/>
      <c r="V114" s="1927"/>
      <c r="W114" s="1928"/>
      <c r="X114" s="1885"/>
      <c r="Y114" s="1885"/>
      <c r="Z114" s="1885"/>
      <c r="AA114" s="1885"/>
      <c r="AB114" s="1885"/>
      <c r="AC114" s="1885"/>
      <c r="AD114" s="1885"/>
      <c r="AE114" s="1885"/>
      <c r="AF114" s="1885"/>
      <c r="AG114" s="1885"/>
      <c r="AH114" s="1885"/>
      <c r="AI114" s="1885"/>
      <c r="AJ114" s="1885"/>
      <c r="AK114" s="1885"/>
      <c r="AL114" s="1885"/>
      <c r="AM114" s="1885"/>
      <c r="AN114" s="1885"/>
      <c r="AO114" s="1885"/>
      <c r="AP114" s="1885"/>
      <c r="AQ114" s="1885"/>
      <c r="AR114" s="2093">
        <v>0</v>
      </c>
    </row>
    <row s="34794" customFormat="1" customHeight="1" ht="17.25" hidden="1">
      <c r="A115" s="947"/>
      <c r="C115" s="835"/>
      <c r="D115" s="2761">
        <v>3</v>
      </c>
      <c r="E115" s="2769" t="s">
        <v>277</v>
      </c>
      <c r="F115" s="2771" t="s">
        <v>19</v>
      </c>
      <c r="G115" s="2769"/>
      <c r="H115" s="2774"/>
      <c r="I115" s="2776"/>
      <c r="J115" s="2778"/>
      <c r="K115" s="2763"/>
      <c r="L115" s="2763"/>
      <c r="M115" s="2763"/>
      <c r="N115" s="2765"/>
      <c r="O115" s="2763"/>
      <c r="P115" s="2763"/>
      <c r="Q115" s="2763"/>
      <c r="R115" s="2768"/>
      <c r="S115" s="2763"/>
      <c r="T115" s="2569"/>
      <c r="U115" s="2569"/>
      <c r="V115" s="2571"/>
      <c r="W115" s="1922"/>
      <c r="X115" s="1893"/>
      <c r="Y115" s="1893"/>
      <c r="Z115" s="1893"/>
      <c r="AA115" s="1893"/>
      <c r="AB115" s="1893"/>
      <c r="AC115" s="1893" t="s">
        <v>278</v>
      </c>
      <c r="AD115" s="1893" t="s">
        <v>279</v>
      </c>
      <c r="AE115" s="1893" t="s">
        <v>280</v>
      </c>
      <c r="AF115" s="1893" t="s">
        <v>281</v>
      </c>
      <c r="AG115" s="1893"/>
      <c r="AH115" s="1893" t="str">
        <f>IF($E$115=0,"",$E$115)</f>
        <v>Тариф на подключение (технологическое присоединение) к централизованной системе горячего водоснабжения</v>
      </c>
      <c r="AI115" s="1893" t="str">
        <f>IF($G$115=0,"",$G$115)</f>
        <v/>
      </c>
      <c r="AJ115" s="1893" t="str">
        <f>IF($J$115=0,"",$J$115)</f>
        <v/>
      </c>
      <c r="AK115" s="1893" t="str">
        <f>IF($K$115="нет","без дифференциации",IF($N$115=0,"",$N$115))</f>
        <v/>
      </c>
      <c r="AL115" s="1893" t="str">
        <f>IF($O$115="нет","без дифференциации",IF($R$115=0,"",$R$115))</f>
        <v/>
      </c>
      <c r="AM115" s="1893" t="str">
        <f>IF($S$115="нет","без дифференциации",IF($V$115=0,"",$V$115))</f>
        <v/>
      </c>
      <c r="AN115" s="2398">
        <f>$I$115</f>
        <v>0</v>
      </c>
      <c r="AO115" s="1893" t="str">
        <f>$I$115&amp;"."&amp;$M$115</f>
        <v>.</v>
      </c>
      <c r="AP115" s="1892" t="str">
        <f>$I$115&amp;"."&amp;$M$115&amp;"."&amp;$Q$115</f>
        <v>..</v>
      </c>
      <c r="AQ115" s="1892" t="str">
        <f>$I$115&amp;"."&amp;$M$115&amp;"."&amp;$Q$115&amp;"."&amp;$U$115</f>
        <v>...</v>
      </c>
      <c r="AR115" s="2093">
        <v>0</v>
      </c>
    </row>
    <row s="34794" customFormat="1" customHeight="1" ht="17.25" hidden="1">
      <c r="A116" s="947"/>
      <c r="C116" s="946"/>
      <c r="D116" s="2761"/>
      <c r="E116" s="2769"/>
      <c r="F116" s="2772"/>
      <c r="G116" s="2769"/>
      <c r="H116" s="2775"/>
      <c r="I116" s="2777"/>
      <c r="J116" s="2779"/>
      <c r="K116" s="2764"/>
      <c r="L116" s="2764"/>
      <c r="M116" s="2764"/>
      <c r="N116" s="2766"/>
      <c r="O116" s="2764"/>
      <c r="P116" s="2764"/>
      <c r="Q116" s="2764"/>
      <c r="R116" s="2767"/>
      <c r="S116" s="2764"/>
      <c r="T116" s="2574"/>
      <c r="U116" s="2574"/>
      <c r="V116" s="2574"/>
      <c r="W116" s="2575"/>
      <c r="X116" s="1892"/>
      <c r="Y116" s="1892"/>
      <c r="Z116" s="1892"/>
      <c r="AA116" s="1892"/>
      <c r="AB116" s="1892"/>
      <c r="AC116" s="1892"/>
      <c r="AD116" s="1892"/>
      <c r="AE116" s="1892"/>
      <c r="AF116" s="1892"/>
      <c r="AG116" s="1892"/>
      <c r="AH116" s="1892"/>
      <c r="AI116" s="1892"/>
      <c r="AJ116" s="1892"/>
      <c r="AK116" s="1892"/>
      <c r="AL116" s="1892"/>
      <c r="AM116" s="1892"/>
      <c r="AN116" s="1892"/>
      <c r="AO116" s="1892"/>
      <c r="AP116" s="1892"/>
      <c r="AQ116" s="1892"/>
      <c r="AR116" s="2093">
        <v>0</v>
      </c>
    </row>
    <row s="34794" customFormat="1" customHeight="1" ht="17.25" hidden="1">
      <c r="A117" s="947"/>
      <c r="C117" s="946"/>
      <c r="D117" s="2762"/>
      <c r="E117" s="2770"/>
      <c r="F117" s="2772"/>
      <c r="G117" s="2770"/>
      <c r="H117" s="2775"/>
      <c r="I117" s="2777"/>
      <c r="J117" s="2780"/>
      <c r="K117" s="2764"/>
      <c r="L117" s="2764"/>
      <c r="M117" s="2764"/>
      <c r="N117" s="2767"/>
      <c r="O117" s="2764"/>
      <c r="P117" s="2570"/>
      <c r="Q117" s="2574"/>
      <c r="R117" s="2574"/>
      <c r="S117" s="955"/>
      <c r="T117" s="955"/>
      <c r="U117" s="955"/>
      <c r="V117" s="955"/>
      <c r="W117" s="2575"/>
      <c r="X117" s="1892"/>
      <c r="Y117" s="1892"/>
      <c r="Z117" s="1892"/>
      <c r="AA117" s="1892"/>
      <c r="AB117" s="1892"/>
      <c r="AC117" s="1892"/>
      <c r="AD117" s="1892"/>
      <c r="AE117" s="1892"/>
      <c r="AF117" s="1892"/>
      <c r="AG117" s="1892"/>
      <c r="AH117" s="1892"/>
      <c r="AI117" s="1892"/>
      <c r="AJ117" s="1892"/>
      <c r="AK117" s="1892"/>
      <c r="AL117" s="1892"/>
      <c r="AM117" s="1892"/>
      <c r="AN117" s="1892"/>
      <c r="AO117" s="1892"/>
      <c r="AP117" s="1892"/>
      <c r="AQ117" s="1892"/>
      <c r="AR117" s="2093">
        <v>0</v>
      </c>
    </row>
    <row s="34794" customFormat="1" customHeight="1" ht="17.25" hidden="1">
      <c r="A118" s="947"/>
      <c r="C118" s="946"/>
      <c r="D118" s="2762"/>
      <c r="E118" s="2770"/>
      <c r="F118" s="2772"/>
      <c r="G118" s="2770"/>
      <c r="H118" s="2775"/>
      <c r="I118" s="2777"/>
      <c r="J118" s="2780"/>
      <c r="K118" s="2764"/>
      <c r="L118" s="2574"/>
      <c r="M118" s="2574"/>
      <c r="N118" s="2574"/>
      <c r="O118" s="2574"/>
      <c r="P118" s="2574"/>
      <c r="Q118" s="2574"/>
      <c r="R118" s="2574"/>
      <c r="S118" s="955"/>
      <c r="T118" s="955"/>
      <c r="U118" s="955"/>
      <c r="V118" s="955"/>
      <c r="W118" s="2575"/>
      <c r="X118" s="1892"/>
      <c r="Y118" s="1892"/>
      <c r="Z118" s="1892"/>
      <c r="AA118" s="1892"/>
      <c r="AB118" s="1892"/>
      <c r="AC118" s="1892"/>
      <c r="AD118" s="1892"/>
      <c r="AE118" s="1892"/>
      <c r="AF118" s="1892"/>
      <c r="AG118" s="1892"/>
      <c r="AH118" s="1892"/>
      <c r="AI118" s="1892"/>
      <c r="AJ118" s="1892"/>
      <c r="AK118" s="1892"/>
      <c r="AL118" s="1892"/>
      <c r="AM118" s="1892"/>
      <c r="AN118" s="1892"/>
      <c r="AO118" s="1892"/>
      <c r="AP118" s="1892"/>
      <c r="AQ118" s="1892"/>
      <c r="AR118" s="2093">
        <v>0</v>
      </c>
    </row>
    <row s="34794" customFormat="1" customHeight="1" ht="17.25" hidden="1">
      <c r="A119" s="947"/>
      <c r="C119" s="946"/>
      <c r="D119" s="2762"/>
      <c r="E119" s="2770"/>
      <c r="F119" s="2773"/>
      <c r="G119" s="2770"/>
      <c r="H119" s="1925"/>
      <c r="I119" s="2572"/>
      <c r="J119" s="2572"/>
      <c r="K119" s="2572"/>
      <c r="L119" s="2572"/>
      <c r="M119" s="2572"/>
      <c r="N119" s="2572"/>
      <c r="O119" s="2572"/>
      <c r="P119" s="2572"/>
      <c r="Q119" s="2572"/>
      <c r="R119" s="2572"/>
      <c r="S119" s="1927"/>
      <c r="T119" s="1927"/>
      <c r="U119" s="1927"/>
      <c r="V119" s="1927"/>
      <c r="W119" s="2573"/>
      <c r="X119" s="1892"/>
      <c r="Y119" s="1892"/>
      <c r="Z119" s="1892"/>
      <c r="AA119" s="1892"/>
      <c r="AB119" s="1892"/>
      <c r="AC119" s="1892"/>
      <c r="AD119" s="1892"/>
      <c r="AE119" s="1892"/>
      <c r="AF119" s="1892"/>
      <c r="AG119" s="1892"/>
      <c r="AH119" s="1892"/>
      <c r="AI119" s="1892"/>
      <c r="AJ119" s="1892"/>
      <c r="AK119" s="1892"/>
      <c r="AL119" s="1892"/>
      <c r="AM119" s="1892"/>
      <c r="AN119" s="1892"/>
      <c r="AO119" s="1892"/>
      <c r="AP119" s="1892"/>
      <c r="AQ119" s="1892"/>
      <c r="AR119" s="2093">
        <v>0</v>
      </c>
    </row>
    <row s="34794" customFormat="1" customHeight="1" ht="11.25" hidden="1">
      <c r="A120" s="903"/>
      <c r="B120" s="903"/>
      <c r="Y120" s="1885"/>
      <c r="Z120" s="1885"/>
      <c r="AA120" s="1885"/>
      <c r="AB120" s="1885"/>
      <c r="AC120" s="1885"/>
      <c r="AD120" s="1885"/>
      <c r="AE120" s="1885"/>
      <c r="AF120" s="1885"/>
      <c r="AG120" s="1885"/>
      <c r="AH120" s="1885"/>
      <c r="AI120" s="1885"/>
      <c r="AJ120" s="1885"/>
      <c r="AK120" s="1885"/>
      <c r="AL120" s="1885"/>
      <c r="AM120" s="1885"/>
      <c r="AN120" s="1885"/>
      <c r="AO120" s="1885"/>
      <c r="AP120" s="1885"/>
      <c r="AQ120" s="1885"/>
      <c r="AR120" s="2093">
        <v>0</v>
      </c>
    </row>
    <row s="34794" customFormat="1" customHeight="1" ht="17.25" hidden="1">
      <c r="A121" s="947"/>
      <c r="C121" s="835"/>
      <c r="D121" s="2761">
        <v>1</v>
      </c>
      <c r="E121" s="2769" t="s">
        <v>282</v>
      </c>
      <c r="F121" s="2771" t="s">
        <v>19</v>
      </c>
      <c r="G121" s="2769"/>
      <c r="H121" s="2774"/>
      <c r="I121" s="2776"/>
      <c r="J121" s="2778"/>
      <c r="K121" s="2763"/>
      <c r="L121" s="2763"/>
      <c r="M121" s="2763"/>
      <c r="N121" s="2765"/>
      <c r="O121" s="2763"/>
      <c r="P121" s="2763"/>
      <c r="Q121" s="2763"/>
      <c r="R121" s="2768"/>
      <c r="S121" s="2763"/>
      <c r="T121" s="2096"/>
      <c r="U121" s="2096"/>
      <c r="V121" s="2098"/>
      <c r="W121" s="1922"/>
      <c r="Y121" s="1893"/>
      <c r="Z121" s="1893"/>
      <c r="AA121" s="1893"/>
      <c r="AB121" s="1893"/>
      <c r="AC121" s="1893" t="s">
        <v>283</v>
      </c>
      <c r="AD121" s="1893" t="s">
        <v>284</v>
      </c>
      <c r="AE121" s="1893" t="s">
        <v>285</v>
      </c>
      <c r="AF121" s="1893" t="s">
        <v>286</v>
      </c>
      <c r="AG121" s="1893"/>
      <c r="AH121" s="1893" t="str">
        <f>IF($E$121=0,"",$E$121)</f>
        <v>Тариф на водоотведение</v>
      </c>
      <c r="AI121" s="1893" t="str">
        <f>IF($G$121=0,"",$G$121)</f>
        <v/>
      </c>
      <c r="AJ121" s="1893" t="str">
        <f>IF($J$121=0,"",$J$121)</f>
        <v/>
      </c>
      <c r="AK121" s="1893" t="str">
        <f>IF($K$121="нет","без дифференциации",IF($N$121=0,"",$N$121))</f>
        <v/>
      </c>
      <c r="AL121" s="1893" t="str">
        <f>IF($O$121="нет","без дифференциации",IF($R$121=0,"",$R$121))</f>
        <v/>
      </c>
      <c r="AM121" s="1893" t="str">
        <f>IF($S$121="нет","без дифференциации",IF($V$121=0,"",$V$121))</f>
        <v/>
      </c>
      <c r="AN121" s="1893">
        <f>$I$121</f>
        <v>0</v>
      </c>
      <c r="AO121" s="1893" t="str">
        <f>$I$121&amp;"."&amp;$M$121</f>
        <v>.</v>
      </c>
      <c r="AP121" s="1893" t="str">
        <f>$I$121&amp;"."&amp;$M$121&amp;"."&amp;$Q$121</f>
        <v>..</v>
      </c>
      <c r="AQ121" s="1893" t="str">
        <f>$I$121&amp;"."&amp;$M$121&amp;"."&amp;$Q$121&amp;"."&amp;$U$121</f>
        <v>...</v>
      </c>
      <c r="AR121" s="2093">
        <v>0</v>
      </c>
    </row>
    <row s="34794" customFormat="1" customHeight="1" ht="17.25" hidden="1">
      <c r="A122" s="947"/>
      <c r="C122" s="946"/>
      <c r="D122" s="2761"/>
      <c r="E122" s="2769"/>
      <c r="F122" s="2772"/>
      <c r="G122" s="2769"/>
      <c r="H122" s="2775"/>
      <c r="I122" s="2777"/>
      <c r="J122" s="2779"/>
      <c r="K122" s="2764"/>
      <c r="L122" s="2764"/>
      <c r="M122" s="2764"/>
      <c r="N122" s="2766"/>
      <c r="O122" s="2764"/>
      <c r="P122" s="2764"/>
      <c r="Q122" s="2764"/>
      <c r="R122" s="2767"/>
      <c r="S122" s="2764"/>
      <c r="T122" s="1923"/>
      <c r="U122" s="1923"/>
      <c r="V122" s="1923"/>
      <c r="W122" s="1924"/>
      <c r="Y122" s="1885"/>
      <c r="Z122" s="1885"/>
      <c r="AA122" s="1885"/>
      <c r="AB122" s="1885"/>
      <c r="AC122" s="1885"/>
      <c r="AD122" s="1885"/>
      <c r="AE122" s="1885"/>
      <c r="AF122" s="1885"/>
      <c r="AG122" s="1885"/>
      <c r="AH122" s="1885"/>
      <c r="AI122" s="1885"/>
      <c r="AJ122" s="1885"/>
      <c r="AK122" s="1885"/>
      <c r="AL122" s="1885"/>
      <c r="AM122" s="1885"/>
      <c r="AN122" s="1885"/>
      <c r="AO122" s="1885"/>
      <c r="AP122" s="1885"/>
      <c r="AQ122" s="1885"/>
      <c r="AR122" s="2093">
        <v>0</v>
      </c>
    </row>
    <row s="34794" customFormat="1" customHeight="1" ht="17.25" hidden="1">
      <c r="A123" s="947"/>
      <c r="C123" s="835"/>
      <c r="D123" s="2761"/>
      <c r="E123" s="2769"/>
      <c r="F123" s="2772"/>
      <c r="G123" s="2769"/>
      <c r="H123" s="2775"/>
      <c r="I123" s="2777"/>
      <c r="J123" s="2780"/>
      <c r="K123" s="2764"/>
      <c r="L123" s="2764"/>
      <c r="M123" s="2764"/>
      <c r="N123" s="2767"/>
      <c r="O123" s="2764"/>
      <c r="P123" s="2097"/>
      <c r="Q123" s="1923"/>
      <c r="R123" s="1923"/>
      <c r="S123" s="955"/>
      <c r="T123" s="955"/>
      <c r="U123" s="955"/>
      <c r="V123" s="955"/>
      <c r="W123" s="1924"/>
      <c r="Y123" s="1893"/>
      <c r="Z123" s="1893"/>
      <c r="AA123" s="1893"/>
      <c r="AB123" s="1893"/>
      <c r="AC123" s="1893"/>
      <c r="AD123" s="1893"/>
      <c r="AE123" s="1893"/>
      <c r="AF123" s="1893"/>
      <c r="AG123" s="1893"/>
      <c r="AH123" s="1893"/>
      <c r="AI123" s="1893"/>
      <c r="AJ123" s="1893"/>
      <c r="AK123" s="1893"/>
      <c r="AL123" s="1893"/>
      <c r="AM123" s="1893"/>
      <c r="AN123" s="1893"/>
      <c r="AO123" s="1893"/>
      <c r="AP123" s="1893"/>
      <c r="AQ123" s="1893"/>
      <c r="AR123" s="2093">
        <v>0</v>
      </c>
    </row>
    <row s="34794" customFormat="1" customHeight="1" ht="17.25" hidden="1">
      <c r="A124" s="947"/>
      <c r="C124" s="946"/>
      <c r="D124" s="2761"/>
      <c r="E124" s="2769"/>
      <c r="F124" s="2772"/>
      <c r="G124" s="2769"/>
      <c r="H124" s="2775"/>
      <c r="I124" s="2777"/>
      <c r="J124" s="2780"/>
      <c r="K124" s="2764"/>
      <c r="L124" s="1923"/>
      <c r="M124" s="1923"/>
      <c r="N124" s="1923"/>
      <c r="O124" s="1923"/>
      <c r="P124" s="1923"/>
      <c r="Q124" s="1923"/>
      <c r="R124" s="1923"/>
      <c r="S124" s="955"/>
      <c r="T124" s="955"/>
      <c r="U124" s="955"/>
      <c r="V124" s="955"/>
      <c r="W124" s="1924"/>
      <c r="Y124" s="1885"/>
      <c r="Z124" s="1885"/>
      <c r="AA124" s="1885"/>
      <c r="AB124" s="1885"/>
      <c r="AC124" s="1885"/>
      <c r="AD124" s="1885"/>
      <c r="AE124" s="1885"/>
      <c r="AF124" s="1885"/>
      <c r="AG124" s="1885"/>
      <c r="AH124" s="1885"/>
      <c r="AI124" s="1885"/>
      <c r="AJ124" s="1885"/>
      <c r="AK124" s="1885"/>
      <c r="AL124" s="1885"/>
      <c r="AM124" s="1885"/>
      <c r="AN124" s="1885"/>
      <c r="AO124" s="1885"/>
      <c r="AP124" s="1885"/>
      <c r="AQ124" s="1885"/>
      <c r="AR124" s="2093">
        <v>0</v>
      </c>
    </row>
    <row s="34794" customFormat="1" customHeight="1" ht="17.25" hidden="1">
      <c r="A125" s="947"/>
      <c r="C125" s="946"/>
      <c r="D125" s="2762"/>
      <c r="E125" s="2770"/>
      <c r="F125" s="2773"/>
      <c r="G125" s="2770"/>
      <c r="H125" s="1925"/>
      <c r="I125" s="1926"/>
      <c r="J125" s="1926"/>
      <c r="K125" s="1926"/>
      <c r="L125" s="1926"/>
      <c r="M125" s="1926"/>
      <c r="N125" s="1926"/>
      <c r="O125" s="1926"/>
      <c r="P125" s="1926"/>
      <c r="Q125" s="1926"/>
      <c r="R125" s="1926"/>
      <c r="S125" s="1927"/>
      <c r="T125" s="1927"/>
      <c r="U125" s="1927"/>
      <c r="V125" s="1927"/>
      <c r="W125" s="1928"/>
      <c r="Y125" s="1885"/>
      <c r="Z125" s="1885"/>
      <c r="AA125" s="1885"/>
      <c r="AB125" s="1885"/>
      <c r="AC125" s="1885"/>
      <c r="AD125" s="1885"/>
      <c r="AE125" s="1885"/>
      <c r="AF125" s="1885"/>
      <c r="AG125" s="1885"/>
      <c r="AH125" s="1885"/>
      <c r="AI125" s="1885"/>
      <c r="AJ125" s="1885"/>
      <c r="AK125" s="1885"/>
      <c r="AL125" s="1885"/>
      <c r="AM125" s="1885"/>
      <c r="AN125" s="1885"/>
      <c r="AO125" s="1885"/>
      <c r="AP125" s="1885"/>
      <c r="AQ125" s="1885"/>
      <c r="AR125" s="2093">
        <v>0</v>
      </c>
    </row>
    <row s="34794" customFormat="1" customHeight="1" ht="17.25" hidden="1">
      <c r="A126" s="947"/>
      <c r="C126" s="835"/>
      <c r="D126" s="2761">
        <v>2</v>
      </c>
      <c r="E126" s="2769" t="s">
        <v>287</v>
      </c>
      <c r="F126" s="2771" t="s">
        <v>19</v>
      </c>
      <c r="G126" s="2769"/>
      <c r="H126" s="2774"/>
      <c r="I126" s="2776"/>
      <c r="J126" s="2778"/>
      <c r="K126" s="2763"/>
      <c r="L126" s="2763"/>
      <c r="M126" s="2763"/>
      <c r="N126" s="2765"/>
      <c r="O126" s="2763"/>
      <c r="P126" s="2763"/>
      <c r="Q126" s="2763"/>
      <c r="R126" s="2768"/>
      <c r="S126" s="2763"/>
      <c r="T126" s="2096"/>
      <c r="U126" s="2096"/>
      <c r="V126" s="2098"/>
      <c r="W126" s="1922"/>
      <c r="X126" s="1893"/>
      <c r="Y126" s="1893"/>
      <c r="Z126" s="1893"/>
      <c r="AA126" s="1893"/>
      <c r="AB126" s="1893"/>
      <c r="AC126" s="1893" t="s">
        <v>288</v>
      </c>
      <c r="AD126" s="1893" t="s">
        <v>289</v>
      </c>
      <c r="AE126" s="1893" t="s">
        <v>290</v>
      </c>
      <c r="AF126" s="1893" t="s">
        <v>291</v>
      </c>
      <c r="AG126" s="1893"/>
      <c r="AH126" s="1893" t="str">
        <f>IF($E$126=0,"",$E$126)</f>
        <v>Тариф на транспортировку сточных вод</v>
      </c>
      <c r="AI126" s="1893" t="str">
        <f>IF($G$126=0,"",$G$126)</f>
        <v/>
      </c>
      <c r="AJ126" s="1893" t="str">
        <f>IF($J$126=0,"",$J$126)</f>
        <v/>
      </c>
      <c r="AK126" s="1893" t="str">
        <f>IF($K$126="нет","без дифференциации",IF($N$126=0,"",$N$126))</f>
        <v/>
      </c>
      <c r="AL126" s="1893" t="str">
        <f>IF($O$126="нет","без дифференциации",IF($R$126=0,"",$R$126))</f>
        <v/>
      </c>
      <c r="AM126" s="1893" t="str">
        <f>IF($S$126="нет","без дифференциации",IF($V$126=0,"",$V$126))</f>
        <v/>
      </c>
      <c r="AN126" s="2398">
        <f>$I$126</f>
        <v>0</v>
      </c>
      <c r="AO126" s="1893" t="str">
        <f>$I$126&amp;"."&amp;$M$126</f>
        <v>.</v>
      </c>
      <c r="AP126" s="1885" t="str">
        <f>$I$126&amp;"."&amp;$M$126&amp;"."&amp;$Q$126</f>
        <v>..</v>
      </c>
      <c r="AQ126" s="1885" t="str">
        <f>$I$126&amp;"."&amp;$M$126&amp;"."&amp;$Q$126&amp;"."&amp;$U$126</f>
        <v>...</v>
      </c>
      <c r="AR126" s="2093">
        <v>0</v>
      </c>
    </row>
    <row s="34794" customFormat="1" customHeight="1" ht="17.25" hidden="1">
      <c r="A127" s="947"/>
      <c r="C127" s="946"/>
      <c r="D127" s="2761"/>
      <c r="E127" s="2769"/>
      <c r="F127" s="2772"/>
      <c r="G127" s="2769"/>
      <c r="H127" s="2775"/>
      <c r="I127" s="2777"/>
      <c r="J127" s="2779"/>
      <c r="K127" s="2764"/>
      <c r="L127" s="2764"/>
      <c r="M127" s="2764"/>
      <c r="N127" s="2766"/>
      <c r="O127" s="2764"/>
      <c r="P127" s="2764"/>
      <c r="Q127" s="2764"/>
      <c r="R127" s="2767"/>
      <c r="S127" s="2764"/>
      <c r="T127" s="1923"/>
      <c r="U127" s="1923"/>
      <c r="V127" s="1923"/>
      <c r="W127" s="1924"/>
      <c r="X127" s="1885"/>
      <c r="Y127" s="1885"/>
      <c r="Z127" s="1885"/>
      <c r="AA127" s="1885"/>
      <c r="AB127" s="1885"/>
      <c r="AC127" s="1885"/>
      <c r="AD127" s="1885"/>
      <c r="AE127" s="1885"/>
      <c r="AF127" s="1885"/>
      <c r="AG127" s="1885"/>
      <c r="AH127" s="1885"/>
      <c r="AI127" s="1885"/>
      <c r="AJ127" s="1885"/>
      <c r="AK127" s="1885"/>
      <c r="AL127" s="1885"/>
      <c r="AM127" s="1885"/>
      <c r="AN127" s="1885"/>
      <c r="AO127" s="1885"/>
      <c r="AP127" s="1885"/>
      <c r="AQ127" s="1885"/>
      <c r="AR127" s="2093">
        <v>0</v>
      </c>
    </row>
    <row s="34794" customFormat="1" customHeight="1" ht="17.25" hidden="1">
      <c r="A128" s="947"/>
      <c r="C128" s="946"/>
      <c r="D128" s="2762"/>
      <c r="E128" s="2770"/>
      <c r="F128" s="2772"/>
      <c r="G128" s="2770"/>
      <c r="H128" s="2775"/>
      <c r="I128" s="2777"/>
      <c r="J128" s="2780"/>
      <c r="K128" s="2764"/>
      <c r="L128" s="2764"/>
      <c r="M128" s="2764"/>
      <c r="N128" s="2767"/>
      <c r="O128" s="2764"/>
      <c r="P128" s="2097"/>
      <c r="Q128" s="1923"/>
      <c r="R128" s="1923"/>
      <c r="S128" s="955"/>
      <c r="T128" s="955"/>
      <c r="U128" s="955"/>
      <c r="V128" s="955"/>
      <c r="W128" s="1924"/>
      <c r="X128" s="1885"/>
      <c r="Y128" s="1885"/>
      <c r="Z128" s="1885"/>
      <c r="AA128" s="1885"/>
      <c r="AB128" s="1885"/>
      <c r="AC128" s="1885"/>
      <c r="AD128" s="1885"/>
      <c r="AE128" s="1885"/>
      <c r="AF128" s="1885"/>
      <c r="AG128" s="1885"/>
      <c r="AH128" s="1885"/>
      <c r="AI128" s="1885"/>
      <c r="AJ128" s="1885"/>
      <c r="AK128" s="1885"/>
      <c r="AL128" s="1885"/>
      <c r="AM128" s="1885"/>
      <c r="AN128" s="1885"/>
      <c r="AO128" s="1885"/>
      <c r="AP128" s="1885"/>
      <c r="AQ128" s="1885"/>
      <c r="AR128" s="2093">
        <v>0</v>
      </c>
    </row>
    <row s="34794" customFormat="1" customHeight="1" ht="17.25" hidden="1">
      <c r="A129" s="947"/>
      <c r="C129" s="946"/>
      <c r="D129" s="2762"/>
      <c r="E129" s="2770"/>
      <c r="F129" s="2772"/>
      <c r="G129" s="2770"/>
      <c r="H129" s="2775"/>
      <c r="I129" s="2777"/>
      <c r="J129" s="2780"/>
      <c r="K129" s="2764"/>
      <c r="L129" s="1923"/>
      <c r="M129" s="1923"/>
      <c r="N129" s="1923"/>
      <c r="O129" s="1923"/>
      <c r="P129" s="1923"/>
      <c r="Q129" s="1923"/>
      <c r="R129" s="1923"/>
      <c r="S129" s="955"/>
      <c r="T129" s="955"/>
      <c r="U129" s="955"/>
      <c r="V129" s="955"/>
      <c r="W129" s="1924"/>
      <c r="X129" s="1885"/>
      <c r="Y129" s="1885"/>
      <c r="Z129" s="1885"/>
      <c r="AA129" s="1885"/>
      <c r="AB129" s="1885"/>
      <c r="AC129" s="1885"/>
      <c r="AD129" s="1885"/>
      <c r="AE129" s="1885"/>
      <c r="AF129" s="1885"/>
      <c r="AG129" s="1885"/>
      <c r="AH129" s="1885"/>
      <c r="AI129" s="1885"/>
      <c r="AJ129" s="1885"/>
      <c r="AK129" s="1885"/>
      <c r="AL129" s="1885"/>
      <c r="AM129" s="1885"/>
      <c r="AN129" s="1885"/>
      <c r="AO129" s="1885"/>
      <c r="AP129" s="1885"/>
      <c r="AQ129" s="1885"/>
      <c r="AR129" s="2093">
        <v>0</v>
      </c>
    </row>
    <row s="34794" customFormat="1" customHeight="1" ht="17.25" hidden="1">
      <c r="A130" s="947"/>
      <c r="C130" s="946"/>
      <c r="D130" s="2762"/>
      <c r="E130" s="2770"/>
      <c r="F130" s="2773"/>
      <c r="G130" s="2770"/>
      <c r="H130" s="1925"/>
      <c r="I130" s="1926"/>
      <c r="J130" s="1926"/>
      <c r="K130" s="1926"/>
      <c r="L130" s="1926"/>
      <c r="M130" s="1926"/>
      <c r="N130" s="1926"/>
      <c r="O130" s="1926"/>
      <c r="P130" s="1926"/>
      <c r="Q130" s="1926"/>
      <c r="R130" s="1926"/>
      <c r="S130" s="1927"/>
      <c r="T130" s="1927"/>
      <c r="U130" s="1927"/>
      <c r="V130" s="1927"/>
      <c r="W130" s="1928"/>
      <c r="X130" s="1885"/>
      <c r="Y130" s="1885"/>
      <c r="Z130" s="1885"/>
      <c r="AA130" s="1885"/>
      <c r="AB130" s="1885"/>
      <c r="AC130" s="1885"/>
      <c r="AD130" s="1885"/>
      <c r="AE130" s="1885"/>
      <c r="AF130" s="1885"/>
      <c r="AG130" s="1885"/>
      <c r="AH130" s="1885"/>
      <c r="AI130" s="1885"/>
      <c r="AJ130" s="1885"/>
      <c r="AK130" s="1885"/>
      <c r="AL130" s="1885"/>
      <c r="AM130" s="1885"/>
      <c r="AN130" s="1885"/>
      <c r="AO130" s="1885"/>
      <c r="AP130" s="1885"/>
      <c r="AQ130" s="1885"/>
      <c r="AR130" s="2093">
        <v>0</v>
      </c>
    </row>
    <row s="34794" customFormat="1" customHeight="1" ht="17.25" hidden="1">
      <c r="A131" s="947"/>
      <c r="C131" s="835"/>
      <c r="D131" s="2761">
        <v>3</v>
      </c>
      <c r="E131" s="2769" t="s">
        <v>292</v>
      </c>
      <c r="F131" s="2771" t="s">
        <v>19</v>
      </c>
      <c r="G131" s="2769"/>
      <c r="H131" s="2774"/>
      <c r="I131" s="2776"/>
      <c r="J131" s="2778"/>
      <c r="K131" s="2763"/>
      <c r="L131" s="2763"/>
      <c r="M131" s="2763"/>
      <c r="N131" s="2765"/>
      <c r="O131" s="2763"/>
      <c r="P131" s="2763"/>
      <c r="Q131" s="2763"/>
      <c r="R131" s="2768"/>
      <c r="S131" s="2763"/>
      <c r="T131" s="2569"/>
      <c r="U131" s="2569"/>
      <c r="V131" s="2571"/>
      <c r="W131" s="1922"/>
      <c r="X131" s="1893"/>
      <c r="Y131" s="1893"/>
      <c r="Z131" s="1893"/>
      <c r="AA131" s="1893"/>
      <c r="AB131" s="1893"/>
      <c r="AC131" s="1893" t="s">
        <v>293</v>
      </c>
      <c r="AD131" s="1893" t="s">
        <v>294</v>
      </c>
      <c r="AE131" s="1893" t="s">
        <v>295</v>
      </c>
      <c r="AF131" s="1893" t="s">
        <v>296</v>
      </c>
      <c r="AG131" s="1893"/>
      <c r="AH131" s="1893" t="str">
        <f>IF($E$131=0,"",$E$131)</f>
        <v>Тариф на подключение (технологическое присоединение) к централизованной системе водоотведения</v>
      </c>
      <c r="AI131" s="1893" t="str">
        <f>IF($G$131=0,"",$G$131)</f>
        <v/>
      </c>
      <c r="AJ131" s="1893" t="str">
        <f>IF($J$131=0,"",$J$131)</f>
        <v/>
      </c>
      <c r="AK131" s="1893" t="str">
        <f>IF($K$131="нет","без дифференциации",IF($N$131=0,"",$N$131))</f>
        <v/>
      </c>
      <c r="AL131" s="1893" t="str">
        <f>IF($O$131="нет","без дифференциации",IF($R$131=0,"",$R$131))</f>
        <v/>
      </c>
      <c r="AM131" s="1893" t="str">
        <f>IF($S$131="нет","без дифференциации",IF($V$131=0,"",$V$131))</f>
        <v/>
      </c>
      <c r="AN131" s="2398">
        <f>$I$131</f>
        <v>0</v>
      </c>
      <c r="AO131" s="1893" t="str">
        <f>$I$131&amp;"."&amp;$M$131</f>
        <v>.</v>
      </c>
      <c r="AP131" s="1892" t="str">
        <f>$I$131&amp;"."&amp;$M$131&amp;"."&amp;$Q$131</f>
        <v>..</v>
      </c>
      <c r="AQ131" s="1892" t="str">
        <f>$I$131&amp;"."&amp;$M$131&amp;"."&amp;$Q$131&amp;"."&amp;$U$131</f>
        <v>...</v>
      </c>
      <c r="AR131" s="2093">
        <v>0</v>
      </c>
    </row>
    <row s="34794" customFormat="1" customHeight="1" ht="17.25" hidden="1">
      <c r="A132" s="947"/>
      <c r="C132" s="946"/>
      <c r="D132" s="2761"/>
      <c r="E132" s="2769"/>
      <c r="F132" s="2772"/>
      <c r="G132" s="2769"/>
      <c r="H132" s="2775"/>
      <c r="I132" s="2777"/>
      <c r="J132" s="2779"/>
      <c r="K132" s="2764"/>
      <c r="L132" s="2764"/>
      <c r="M132" s="2764"/>
      <c r="N132" s="2766"/>
      <c r="O132" s="2764"/>
      <c r="P132" s="2764"/>
      <c r="Q132" s="2764"/>
      <c r="R132" s="2767"/>
      <c r="S132" s="2764"/>
      <c r="T132" s="2574"/>
      <c r="U132" s="2574"/>
      <c r="V132" s="2574"/>
      <c r="W132" s="2575"/>
      <c r="X132" s="1892"/>
      <c r="Y132" s="1892"/>
      <c r="Z132" s="1892"/>
      <c r="AA132" s="1892"/>
      <c r="AB132" s="1892"/>
      <c r="AC132" s="1892"/>
      <c r="AD132" s="1892"/>
      <c r="AE132" s="1892"/>
      <c r="AF132" s="1892"/>
      <c r="AG132" s="1892"/>
      <c r="AH132" s="1892"/>
      <c r="AI132" s="1892"/>
      <c r="AJ132" s="1892"/>
      <c r="AK132" s="1892"/>
      <c r="AL132" s="1892"/>
      <c r="AM132" s="1892"/>
      <c r="AN132" s="1892"/>
      <c r="AO132" s="1892"/>
      <c r="AP132" s="1892"/>
      <c r="AQ132" s="1892"/>
      <c r="AR132" s="2093">
        <v>0</v>
      </c>
    </row>
    <row s="34794" customFormat="1" customHeight="1" ht="17.25" hidden="1">
      <c r="A133" s="947"/>
      <c r="C133" s="946"/>
      <c r="D133" s="2762"/>
      <c r="E133" s="2770"/>
      <c r="F133" s="2772"/>
      <c r="G133" s="2770"/>
      <c r="H133" s="2775"/>
      <c r="I133" s="2777"/>
      <c r="J133" s="2780"/>
      <c r="K133" s="2764"/>
      <c r="L133" s="2764"/>
      <c r="M133" s="2764"/>
      <c r="N133" s="2767"/>
      <c r="O133" s="2764"/>
      <c r="P133" s="2570"/>
      <c r="Q133" s="2574"/>
      <c r="R133" s="2574"/>
      <c r="S133" s="955"/>
      <c r="T133" s="955"/>
      <c r="U133" s="955"/>
      <c r="V133" s="955"/>
      <c r="W133" s="2575"/>
      <c r="X133" s="1892"/>
      <c r="Y133" s="1892"/>
      <c r="Z133" s="1892"/>
      <c r="AA133" s="1892"/>
      <c r="AB133" s="1892"/>
      <c r="AC133" s="1892"/>
      <c r="AD133" s="1892"/>
      <c r="AE133" s="1892"/>
      <c r="AF133" s="1892"/>
      <c r="AG133" s="1892"/>
      <c r="AH133" s="1892"/>
      <c r="AI133" s="1892"/>
      <c r="AJ133" s="1892"/>
      <c r="AK133" s="1892"/>
      <c r="AL133" s="1892"/>
      <c r="AM133" s="1892"/>
      <c r="AN133" s="1892"/>
      <c r="AO133" s="1892"/>
      <c r="AP133" s="1892"/>
      <c r="AQ133" s="1892"/>
      <c r="AR133" s="2093">
        <v>0</v>
      </c>
    </row>
    <row s="34794" customFormat="1" customHeight="1" ht="17.25" hidden="1">
      <c r="A134" s="947"/>
      <c r="C134" s="946"/>
      <c r="D134" s="2762"/>
      <c r="E134" s="2770"/>
      <c r="F134" s="2772"/>
      <c r="G134" s="2770"/>
      <c r="H134" s="2775"/>
      <c r="I134" s="2777"/>
      <c r="J134" s="2780"/>
      <c r="K134" s="2764"/>
      <c r="L134" s="2574"/>
      <c r="M134" s="2574"/>
      <c r="N134" s="2574"/>
      <c r="O134" s="2574"/>
      <c r="P134" s="2574"/>
      <c r="Q134" s="2574"/>
      <c r="R134" s="2574"/>
      <c r="S134" s="955"/>
      <c r="T134" s="955"/>
      <c r="U134" s="955"/>
      <c r="V134" s="955"/>
      <c r="W134" s="2575"/>
      <c r="X134" s="1892"/>
      <c r="Y134" s="1892"/>
      <c r="Z134" s="1892"/>
      <c r="AA134" s="1892"/>
      <c r="AB134" s="1892"/>
      <c r="AC134" s="1892"/>
      <c r="AD134" s="1892"/>
      <c r="AE134" s="1892"/>
      <c r="AF134" s="1892"/>
      <c r="AG134" s="1892"/>
      <c r="AH134" s="1892"/>
      <c r="AI134" s="1892"/>
      <c r="AJ134" s="1892"/>
      <c r="AK134" s="1892"/>
      <c r="AL134" s="1892"/>
      <c r="AM134" s="1892"/>
      <c r="AN134" s="1892"/>
      <c r="AO134" s="1892"/>
      <c r="AP134" s="1892"/>
      <c r="AQ134" s="1892"/>
      <c r="AR134" s="2093">
        <v>0</v>
      </c>
    </row>
    <row s="34794" customFormat="1" customHeight="1" ht="17.25" hidden="1">
      <c r="A135" s="947"/>
      <c r="C135" s="946"/>
      <c r="D135" s="2762"/>
      <c r="E135" s="2770"/>
      <c r="F135" s="2773"/>
      <c r="G135" s="2770"/>
      <c r="H135" s="1925"/>
      <c r="I135" s="2572"/>
      <c r="J135" s="2572"/>
      <c r="K135" s="2572"/>
      <c r="L135" s="2572"/>
      <c r="M135" s="2572"/>
      <c r="N135" s="2572"/>
      <c r="O135" s="2572"/>
      <c r="P135" s="2572"/>
      <c r="Q135" s="2572"/>
      <c r="R135" s="2572"/>
      <c r="S135" s="1927"/>
      <c r="T135" s="1927"/>
      <c r="U135" s="1927"/>
      <c r="V135" s="1927"/>
      <c r="W135" s="2573"/>
      <c r="X135" s="1892"/>
      <c r="Y135" s="1892"/>
      <c r="Z135" s="1892"/>
      <c r="AA135" s="1892"/>
      <c r="AB135" s="1892"/>
      <c r="AC135" s="1892"/>
      <c r="AD135" s="1892"/>
      <c r="AE135" s="1892"/>
      <c r="AF135" s="1892"/>
      <c r="AG135" s="1892"/>
      <c r="AH135" s="1892"/>
      <c r="AI135" s="1892"/>
      <c r="AJ135" s="1892"/>
      <c r="AK135" s="1892"/>
      <c r="AL135" s="1892"/>
      <c r="AM135" s="1892"/>
      <c r="AN135" s="1892"/>
      <c r="AO135" s="1892"/>
      <c r="AP135" s="1892"/>
      <c r="AQ135" s="1892"/>
      <c r="AR135" s="2093">
        <v>0</v>
      </c>
    </row>
    <row customHeight="1" ht="11.549999999999999">
      <c r="AR136" s="730">
        <v>11</v>
      </c>
    </row>
    <row customHeight="1" ht="11.549999999999999">
      <c r="AR137" s="730">
        <v>11</v>
      </c>
    </row>
    <row customHeight="1" ht="11.549999999999999">
      <c r="AR138" s="730">
        <v>11</v>
      </c>
    </row>
    <row customHeight="1" ht="11.549999999999999">
      <c r="E139" s="1976"/>
      <c r="AR139" s="730">
        <v>11</v>
      </c>
    </row>
    <row customHeight="1" ht="11.549999999999999">
      <c r="E140" s="1976"/>
      <c r="AR140" s="730">
        <v>11</v>
      </c>
    </row>
    <row customHeight="1" ht="11.549999999999999">
      <c r="E141" s="1976"/>
      <c r="AR141" s="730">
        <v>11</v>
      </c>
    </row>
    <row customHeight="1" ht="11.549999999999999">
      <c r="E142" s="1976"/>
      <c r="AR142" s="730">
        <v>11</v>
      </c>
    </row>
    <row customHeight="1" ht="11.549999999999999">
      <c r="E143" s="1976"/>
      <c r="AR143" s="730">
        <v>11</v>
      </c>
    </row>
    <row customHeight="1" ht="11.549999999999999">
      <c r="E144" s="1976"/>
      <c r="AR144" s="730">
        <v>11</v>
      </c>
    </row>
    <row customHeight="1" ht="11.549999999999999">
      <c r="E145" s="1976"/>
      <c r="AR145" s="730">
        <v>11</v>
      </c>
    </row>
    <row customHeight="1" ht="11.25" hidden="1">
      <c r="A146" s="779" t="s">
        <v>82</v>
      </c>
      <c r="B146" s="779">
        <v>0</v>
      </c>
      <c r="C146" s="730">
        <v>3</v>
      </c>
      <c r="D146" s="730">
        <v>6</v>
      </c>
      <c r="E146" s="730">
        <v>42</v>
      </c>
      <c r="F146" s="1909">
        <v>14</v>
      </c>
      <c r="G146" s="730">
        <v>42</v>
      </c>
      <c r="H146" s="730">
        <v>3</v>
      </c>
      <c r="I146" s="730">
        <v>5</v>
      </c>
      <c r="J146" s="730">
        <v>47</v>
      </c>
      <c r="K146" s="730">
        <v>3</v>
      </c>
      <c r="L146" s="730">
        <v>3</v>
      </c>
      <c r="M146" s="730">
        <v>5</v>
      </c>
      <c r="N146" s="730">
        <v>28</v>
      </c>
      <c r="O146" s="730">
        <v>3</v>
      </c>
      <c r="P146" s="730">
        <v>3</v>
      </c>
      <c r="Q146" s="730">
        <v>5</v>
      </c>
      <c r="R146" s="730">
        <v>34</v>
      </c>
      <c r="S146" s="908">
        <v>0</v>
      </c>
      <c r="T146" s="908">
        <v>0</v>
      </c>
      <c r="U146" s="908">
        <v>0</v>
      </c>
      <c r="V146" s="908">
        <v>0</v>
      </c>
      <c r="W146" s="730">
        <v>30</v>
      </c>
      <c r="X146" s="730">
        <v>3</v>
      </c>
      <c r="Y146" s="1885">
        <v>0</v>
      </c>
      <c r="Z146" s="1885">
        <v>0</v>
      </c>
      <c r="AA146" s="1885">
        <v>0</v>
      </c>
      <c r="AB146" s="1885">
        <v>0</v>
      </c>
      <c r="AC146" s="1885">
        <v>0</v>
      </c>
      <c r="AD146" s="1885">
        <v>0</v>
      </c>
      <c r="AE146" s="1885">
        <v>0</v>
      </c>
      <c r="AF146" s="1885">
        <v>0</v>
      </c>
      <c r="AG146" s="1885">
        <v>0</v>
      </c>
      <c r="AH146" s="1885">
        <v>0</v>
      </c>
      <c r="AI146" s="1885">
        <v>0</v>
      </c>
      <c r="AJ146" s="1885">
        <v>0</v>
      </c>
      <c r="AK146" s="1885">
        <v>0</v>
      </c>
      <c r="AL146" s="1885">
        <v>0</v>
      </c>
      <c r="AM146" s="1885">
        <v>0</v>
      </c>
      <c r="AN146" s="1885">
        <v>0</v>
      </c>
      <c r="AO146" s="1885">
        <v>0</v>
      </c>
      <c r="AP146" s="1885">
        <v>0</v>
      </c>
      <c r="AQ146" s="1885">
        <v>0</v>
      </c>
      <c r="AR146" s="730">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B51E3D-413E-B6D5-8356-D72D5A837C55}" mc:Ignorable="x14ac xr xr2 xr3">
  <sheetPr>
    <tabColor theme="2" tint="-0.1"/>
  </sheetPr>
  <dimension ref="A1:AD30"/>
  <sheetViews>
    <sheetView showGridLines="0" zoomScale="80" workbookViewId="0">
      <pane xSplit="8" ySplit="18" topLeftCell="I19" activePane="bottomRight" state="frozen"/>
      <selection pane="bottomLeft" activeCell="A19" sqref="A19"/>
      <selection pane="topRight" activeCell="I1" sqref="I1"/>
      <selection pane="bottomRight" activeCell="M21" sqref="M21"/>
    </sheetView>
  </sheetViews>
  <sheetFormatPr defaultColWidth="10.57421875" customHeight="1" defaultRowHeight="15"/>
  <cols>
    <col min="1" max="1" style="34544" width="9.140625" hidden="1" customWidth="1"/>
    <col min="2" max="2" style="34580" width="9.140625" hidden="1" customWidth="1"/>
    <col min="3" max="3" style="36811" width="4.00390625" customWidth="1"/>
    <col min="4" max="4" style="34580" width="6.00390625" customWidth="1"/>
    <col min="5" max="5" style="34580" width="47.00390625" customWidth="1"/>
    <col min="6" max="6" style="34580" width="9.00390625" customWidth="1"/>
    <col min="7" max="7" style="34580" width="25.7109375" hidden="1" customWidth="1"/>
    <col min="8" max="8" style="34580" width="34.00390625" hidden="1" customWidth="1"/>
    <col min="9" max="9" style="34580" width="25.7109375" customWidth="1"/>
    <col min="10" max="10" style="34580" width="33.00390625" customWidth="1"/>
    <col min="11" max="11" style="35917" width="25.7109375" customWidth="1"/>
    <col min="12" max="12" style="35917" width="34.00390625" customWidth="1"/>
    <col min="13" max="13" style="35917" width="25.7109375" customWidth="1"/>
    <col min="14" max="14" style="35917" width="34.00390625" customWidth="1"/>
    <col min="15" max="15" style="35917" width="25.7109375" customWidth="1"/>
    <col min="16" max="16" style="35917" width="34.00390625" customWidth="1"/>
    <col min="17" max="17" style="35917" width="25.7109375" customWidth="1"/>
    <col min="18" max="18" style="35917" width="34.00390625" customWidth="1"/>
    <col min="19" max="19" style="34657" width="50.00390625" customWidth="1"/>
    <col min="20" max="28" style="34580" width="10.00390625" customWidth="1"/>
    <col min="29" max="29" style="36812" width="10.00390625" customWidth="1"/>
    <col min="30" max="30" style="34580" width="10.57421875" hidden="1"/>
  </cols>
  <sheetData>
    <row s="34657" customFormat="1" customHeight="1" ht="22.5" hidden="1">
      <c r="C1" s="1298"/>
      <c r="G1" s="1043">
        <v>4</v>
      </c>
      <c r="I1" s="1043">
        <v>4</v>
      </c>
      <c r="K1" s="4490">
        <v>4</v>
      </c>
      <c r="L1" s="4490"/>
      <c r="M1" s="4490">
        <v>4</v>
      </c>
      <c r="N1" s="4490"/>
      <c r="O1" s="4490">
        <v>4</v>
      </c>
      <c r="P1" s="4490"/>
      <c r="Q1" s="4490">
        <v>4</v>
      </c>
      <c r="R1" s="4490"/>
      <c r="AC1" s="1046"/>
      <c r="AD1" s="1043" t="s">
        <v>14</v>
      </c>
    </row>
    <row s="34580" customFormat="1" customHeight="1" ht="15" hidden="1">
      <c r="A2" s="988"/>
      <c r="C2" s="802"/>
      <c r="D2" s="972"/>
      <c r="E2" s="1299"/>
      <c r="F2" s="1148"/>
      <c r="G2" s="1242"/>
      <c r="H2" s="1242"/>
      <c r="I2" s="1242"/>
      <c r="J2" s="1242"/>
      <c r="K2" s="5302"/>
      <c r="L2" s="5302"/>
      <c r="M2" s="5302"/>
      <c r="N2" s="5302"/>
      <c r="O2" s="5302"/>
      <c r="P2" s="5302"/>
      <c r="Q2" s="5302"/>
      <c r="R2" s="5302"/>
      <c r="AC2" s="1300"/>
      <c r="AD2" s="1135">
        <v>0</v>
      </c>
    </row>
    <row s="34657" customFormat="1" customHeight="1" ht="15" hidden="1">
      <c r="C3" s="1298"/>
      <c r="K3" s="4490"/>
      <c r="L3" s="4490"/>
      <c r="M3" s="4490"/>
      <c r="N3" s="4490"/>
      <c r="O3" s="4490"/>
      <c r="P3" s="4490"/>
      <c r="Q3" s="4490"/>
      <c r="R3" s="4490"/>
      <c r="AC3" s="1046"/>
      <c r="AD3" s="1043">
        <v>0</v>
      </c>
    </row>
    <row customHeight="1" ht="15.75">
      <c r="C4" s="802"/>
      <c r="D4" s="1135"/>
      <c r="E4" s="1135"/>
      <c r="F4" s="1135"/>
      <c r="G4" s="1135"/>
      <c r="H4" s="1135"/>
      <c r="I4" s="1135"/>
      <c r="J4" s="1135"/>
      <c r="K4" s="4469"/>
      <c r="L4" s="4469"/>
      <c r="M4" s="4469"/>
      <c r="N4" s="4469"/>
      <c r="O4" s="4469"/>
      <c r="P4" s="4469"/>
      <c r="Q4" s="4469"/>
      <c r="R4" s="4469"/>
      <c r="AD4" s="1131">
        <v>15</v>
      </c>
    </row>
    <row customHeight="1" ht="66">
      <c r="C5" s="802"/>
      <c r="D5" s="2863" t="s">
        <v>1337</v>
      </c>
      <c r="E5" s="2863"/>
      <c r="F5" s="2863"/>
      <c r="G5" s="2863"/>
      <c r="H5" s="2863"/>
      <c r="I5" s="2863"/>
      <c r="J5" s="2863"/>
      <c r="K5" s="4501"/>
      <c r="L5" s="4501"/>
      <c r="M5" s="4501"/>
      <c r="N5" s="4501"/>
      <c r="O5" s="4501"/>
      <c r="P5" s="4501"/>
      <c r="Q5" s="4501"/>
      <c r="R5" s="4501"/>
      <c r="AD5" s="1131">
        <v>63</v>
      </c>
    </row>
    <row customHeight="1" ht="15.75">
      <c r="C6" s="802"/>
      <c r="D6" s="2802" t="str">
        <f>IF(org=0,"Не определено",org)</f>
        <v>АО "ДГК"</v>
      </c>
      <c r="E6" s="2802"/>
      <c r="F6" s="2802"/>
      <c r="G6" s="2802"/>
      <c r="H6" s="2802"/>
      <c r="I6" s="2802"/>
      <c r="J6" s="2802"/>
      <c r="K6" s="4503"/>
      <c r="L6" s="4503"/>
      <c r="M6" s="4503"/>
      <c r="N6" s="4503"/>
      <c r="O6" s="4503"/>
      <c r="P6" s="4503"/>
      <c r="Q6" s="4503"/>
      <c r="R6" s="4503"/>
      <c r="S6" s="1163"/>
      <c r="AD6" s="1131">
        <v>15</v>
      </c>
    </row>
    <row customHeight="1" ht="15.75">
      <c r="C7" s="802"/>
      <c r="D7" s="1378"/>
      <c r="E7" s="1135"/>
      <c r="F7" s="1135"/>
      <c r="G7" s="1163">
        <v>22</v>
      </c>
      <c r="I7" s="1163">
        <v>1</v>
      </c>
      <c r="J7" s="1378"/>
      <c r="K7" s="4490" t="s">
        <v>22</v>
      </c>
      <c r="L7" s="4469"/>
      <c r="M7" s="4490" t="s">
        <v>22</v>
      </c>
      <c r="N7" s="4469"/>
      <c r="O7" s="4490" t="s">
        <v>22</v>
      </c>
      <c r="P7" s="4469"/>
      <c r="Q7" s="4490" t="s">
        <v>22</v>
      </c>
      <c r="R7" s="4469"/>
      <c r="AD7" s="1131">
        <v>15</v>
      </c>
    </row>
    <row s="34580" customFormat="1" customHeight="1" ht="1.05">
      <c r="A8" s="1385"/>
      <c r="C8" s="802"/>
      <c r="D8" s="1135"/>
      <c r="E8" s="1135"/>
      <c r="F8" s="1135"/>
      <c r="G8" s="1163"/>
      <c r="H8" s="1378"/>
      <c r="I8" s="1163" t="s">
        <v>126</v>
      </c>
      <c r="J8" s="1378"/>
      <c r="K8" s="4490" t="s">
        <v>131</v>
      </c>
      <c r="L8" s="4846"/>
      <c r="M8" s="4490" t="s">
        <v>134</v>
      </c>
      <c r="N8" s="4846"/>
      <c r="O8" s="4490" t="s">
        <v>139</v>
      </c>
      <c r="P8" s="4846"/>
      <c r="Q8" s="4490" t="s">
        <v>137</v>
      </c>
      <c r="R8" s="4846"/>
      <c r="S8" s="1043"/>
      <c r="AC8" s="1301"/>
      <c r="AD8" s="1384">
        <v>1</v>
      </c>
    </row>
    <row customHeight="1" ht="15.75">
      <c r="C9" s="802"/>
      <c r="D9" s="1337"/>
      <c r="E9" s="2993" t="s">
        <v>114</v>
      </c>
      <c r="F9" s="2994"/>
      <c r="G9" s="3021" t="str">
        <f>IF(G8="","",INDEX(DIFFERENTIATION_UNMERGE_VD,MATCH(G8,DIFFERENTIATION_ID_DIFF,0)))</f>
        <v/>
      </c>
      <c r="H9" s="3022"/>
      <c r="I9" s="3021"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J9" s="3022"/>
      <c r="K9" s="4947"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L9" s="4948"/>
      <c r="M9" s="4947" t="str">
        <f>IF(M8="","",INDEX(DIFFERENTIATION_UNMERGE_VD,MATCH(M8,DIFFERENTIATION_ID_DIFF,0)))</f>
        <v>Производство тепловой энергии. Некомбинированная выработка</v>
      </c>
      <c r="N9" s="4948"/>
      <c r="O9" s="4947" t="str">
        <f>IF(O8="","",INDEX(DIFFERENTIATION_UNMERGE_VD,MATCH(O8,DIFFERENTIATION_ID_DIFF,0)))</f>
        <v>Производство тепловой энергии. Комбинированная выработка с уст. мощностью производства электрической энергии 25 МВт и более</v>
      </c>
      <c r="P9" s="4948"/>
      <c r="Q9" s="4947" t="str">
        <f>IF(Q8="","",INDEX(DIFFERENTIATION_UNMERGE_VD,MATCH(Q8,DIFFERENTIATION_ID_DIFF,0)))</f>
        <v>Производство тепловой энергии. Некомбинированная выработка</v>
      </c>
      <c r="R9" s="4948"/>
      <c r="S9" s="2801" t="s">
        <v>319</v>
      </c>
      <c r="AD9" s="1131">
        <v>15</v>
      </c>
    </row>
    <row s="34580" customFormat="1" customHeight="1" ht="15.75">
      <c r="A10" s="1385"/>
      <c r="C10" s="802"/>
      <c r="D10" s="1337"/>
      <c r="E10" s="2993" t="s">
        <v>582</v>
      </c>
      <c r="F10" s="2994"/>
      <c r="G10" s="3021" t="str">
        <f>IF(G8="","",INDEX(DIFFERENTIATION_UNMERGE_AREA,MATCH(G8,DIFFERENTIATION_ID_DIFF,0)))</f>
        <v/>
      </c>
      <c r="H10" s="3022"/>
      <c r="I10" s="3021" t="str">
        <f>IF(I8="","",INDEX(DIFFERENTIATION_UNMERGE_AREA,MATCH(I8,DIFFERENTIATION_ID_DIFF,0)))</f>
        <v>Территория 1</v>
      </c>
      <c r="J10" s="3022"/>
      <c r="K10" s="4947" t="str">
        <f>IF(K8="","",INDEX(DIFFERENTIATION_UNMERGE_AREA,MATCH(K8,DIFFERENTIATION_ID_DIFF,0)))</f>
        <v>Территория 2</v>
      </c>
      <c r="L10" s="4948"/>
      <c r="M10" s="4947" t="str">
        <f>IF(M8="","",INDEX(DIFFERENTIATION_UNMERGE_AREA,MATCH(M8,DIFFERENTIATION_ID_DIFF,0)))</f>
        <v>Территория 2</v>
      </c>
      <c r="N10" s="4948"/>
      <c r="O10" s="4947" t="str">
        <f>IF(O8="","",INDEX(DIFFERENTIATION_UNMERGE_AREA,MATCH(O8,DIFFERENTIATION_ID_DIFF,0)))</f>
        <v>Территория 3</v>
      </c>
      <c r="P10" s="4948"/>
      <c r="Q10" s="4947" t="str">
        <f>IF(Q8="","",INDEX(DIFFERENTIATION_UNMERGE_AREA,MATCH(Q8,DIFFERENTIATION_ID_DIFF,0)))</f>
        <v>Территория 3</v>
      </c>
      <c r="R10" s="4948"/>
      <c r="S10" s="2825"/>
      <c r="AC10" s="1301"/>
      <c r="AD10" s="1384">
        <v>15</v>
      </c>
    </row>
    <row s="34580" customFormat="1" customHeight="1" ht="15.75">
      <c r="A11" s="1385"/>
      <c r="C11" s="802"/>
      <c r="D11" s="1337"/>
      <c r="E11" s="2993" t="s">
        <v>583</v>
      </c>
      <c r="F11" s="2994"/>
      <c r="G11" s="3021" t="str">
        <f>IF(G8="","",INDEX(DIFFERENTIATION_UNMERGE_SYSTEM,MATCH(G8,DIFFERENTIATION_ID_DIFF,0)))</f>
        <v/>
      </c>
      <c r="H11" s="3022"/>
      <c r="I11" s="3021" t="str">
        <f>IF(I8="","",INDEX(DIFFERENTIATION_UNMERGE_SYSTEM,MATCH(I8,DIFFERENTIATION_ID_DIFF,0)))</f>
        <v>Благовещенская ТЭЦ (г. Благовещенск)</v>
      </c>
      <c r="J11" s="3022"/>
      <c r="K11" s="4947" t="str">
        <f>IF(K8="","",INDEX(DIFFERENTIATION_UNMERGE_SYSTEM,MATCH(K8,DIFFERENTIATION_ID_DIFF,0)))</f>
        <v>Райчихинская ГРЭС </v>
      </c>
      <c r="L11" s="4948"/>
      <c r="M11" s="4947" t="str">
        <f>IF(M8="","",INDEX(DIFFERENTIATION_UNMERGE_SYSTEM,MATCH(M8,DIFFERENTIATION_ID_DIFF,0)))</f>
        <v>Котельная "Агромех" (п.г.т. Новорайчихинск)</v>
      </c>
      <c r="N11" s="4948"/>
      <c r="O11" s="4947" t="str">
        <f>IF(O8="","",INDEX(DIFFERENTIATION_UNMERGE_SYSTEM,MATCH(O8,DIFFERENTIATION_ID_DIFF,0)))</f>
        <v>Благовещенская ТЭЦ (с. Чигири)</v>
      </c>
      <c r="P11" s="4948"/>
      <c r="Q11" s="4947" t="str">
        <f>IF(Q8="","",INDEX(DIFFERENTIATION_UNMERGE_SYSTEM,MATCH(Q8,DIFFERENTIATION_ID_DIFF,0)))</f>
        <v>Котельная "Центральная" (с. Чигири ) </v>
      </c>
      <c r="R11" s="4948"/>
      <c r="S11" s="2825"/>
      <c r="AC11" s="1301"/>
      <c r="AD11" s="1384">
        <v>15</v>
      </c>
    </row>
    <row s="34580" customFormat="1" customHeight="1" ht="15.75">
      <c r="A12" s="1385"/>
      <c r="C12" s="802"/>
      <c r="D12" s="2995" t="s">
        <v>318</v>
      </c>
      <c r="E12" s="2996"/>
      <c r="F12" s="2996"/>
      <c r="G12" s="1513"/>
      <c r="H12" s="1513"/>
      <c r="I12" s="1513"/>
      <c r="J12" s="1513"/>
      <c r="K12" s="4516"/>
      <c r="L12" s="4516"/>
      <c r="M12" s="4516"/>
      <c r="N12" s="4516"/>
      <c r="O12" s="4516"/>
      <c r="P12" s="4516"/>
      <c r="Q12" s="4516"/>
      <c r="R12" s="4516"/>
      <c r="S12" s="2825"/>
      <c r="AC12" s="1301"/>
      <c r="AD12" s="1384">
        <v>15</v>
      </c>
    </row>
    <row customHeight="1" ht="35.699999999999996">
      <c r="C13" s="802"/>
      <c r="D13" s="1431" t="s">
        <v>88</v>
      </c>
      <c r="E13" s="1433" t="s">
        <v>320</v>
      </c>
      <c r="F13" s="1433" t="s">
        <v>584</v>
      </c>
      <c r="G13" s="1434" t="s">
        <v>321</v>
      </c>
      <c r="H13" s="1433" t="s">
        <v>408</v>
      </c>
      <c r="I13" s="1434" t="s">
        <v>321</v>
      </c>
      <c r="J13" s="1433" t="s">
        <v>408</v>
      </c>
      <c r="K13" s="4747" t="s">
        <v>321</v>
      </c>
      <c r="L13" s="4475" t="s">
        <v>408</v>
      </c>
      <c r="M13" s="4747" t="s">
        <v>321</v>
      </c>
      <c r="N13" s="4475" t="s">
        <v>408</v>
      </c>
      <c r="O13" s="4747" t="s">
        <v>321</v>
      </c>
      <c r="P13" s="4475" t="s">
        <v>408</v>
      </c>
      <c r="Q13" s="4747" t="s">
        <v>321</v>
      </c>
      <c r="R13" s="4475" t="s">
        <v>408</v>
      </c>
      <c r="S13" s="2858"/>
      <c r="AD13" s="1131">
        <v>34</v>
      </c>
    </row>
    <row customHeight="1" ht="15" hidden="1">
      <c r="C14" s="802"/>
      <c r="D14" s="1219" t="s">
        <v>118</v>
      </c>
      <c r="E14" s="1219" t="s">
        <v>102</v>
      </c>
      <c r="F14" s="1219" t="s">
        <v>90</v>
      </c>
      <c r="G14" s="1285" t="str">
        <f>G1&amp;".1"</f>
        <v>4.1</v>
      </c>
      <c r="H14" s="1285"/>
      <c r="I14" s="1285" t="str">
        <f>I1&amp;".1"</f>
        <v>4.1</v>
      </c>
      <c r="J14" s="1285"/>
      <c r="K14" s="4955" t="str">
        <f>K1&amp;".1"</f>
        <v>4.1</v>
      </c>
      <c r="L14" s="4955"/>
      <c r="M14" s="4955" t="str">
        <f>M1&amp;".1"</f>
        <v>4.1</v>
      </c>
      <c r="N14" s="4955"/>
      <c r="O14" s="4955" t="str">
        <f>O1&amp;".1"</f>
        <v>4.1</v>
      </c>
      <c r="P14" s="4955"/>
      <c r="Q14" s="4955" t="str">
        <f>Q1&amp;".1"</f>
        <v>4.1</v>
      </c>
      <c r="R14" s="4955"/>
      <c r="S14" s="915"/>
      <c r="AD14" s="1131">
        <v>0</v>
      </c>
    </row>
    <row customHeight="1" ht="22.5" hidden="1">
      <c r="A15" s="1131"/>
      <c r="C15" s="1152"/>
      <c r="D15" s="1147">
        <v>1</v>
      </c>
      <c r="E15" s="1303" t="s">
        <v>830</v>
      </c>
      <c r="F15" s="1147" t="s">
        <v>831</v>
      </c>
      <c r="G15" s="1304"/>
      <c r="H15" s="1304"/>
      <c r="I15" s="1304"/>
      <c r="J15" s="1304"/>
      <c r="K15" s="5307"/>
      <c r="L15" s="5307"/>
      <c r="M15" s="5307"/>
      <c r="N15" s="5307"/>
      <c r="O15" s="5307"/>
      <c r="P15" s="5307"/>
      <c r="Q15" s="5307"/>
      <c r="R15" s="5307"/>
      <c r="S15" s="915" t="s">
        <v>832</v>
      </c>
      <c r="AD15" s="1131">
        <v>0</v>
      </c>
    </row>
    <row customHeight="1" ht="22.5" hidden="1">
      <c r="A16" s="1131"/>
      <c r="C16" s="1152"/>
      <c r="D16" s="1147">
        <v>2</v>
      </c>
      <c r="E16" s="905" t="s">
        <v>833</v>
      </c>
      <c r="F16" s="1147" t="s">
        <v>834</v>
      </c>
      <c r="G16" s="1304"/>
      <c r="H16" s="1304"/>
      <c r="I16" s="1304"/>
      <c r="J16" s="1304"/>
      <c r="K16" s="5307"/>
      <c r="L16" s="5307"/>
      <c r="M16" s="5307"/>
      <c r="N16" s="5307"/>
      <c r="O16" s="5307"/>
      <c r="P16" s="5307"/>
      <c r="Q16" s="5307"/>
      <c r="R16" s="5307"/>
      <c r="S16" s="915" t="s">
        <v>835</v>
      </c>
      <c r="AD16" s="1131">
        <v>0</v>
      </c>
    </row>
    <row customHeight="1" ht="123.75" hidden="1">
      <c r="A17" s="1131"/>
      <c r="C17" s="1152"/>
      <c r="D17" s="1147">
        <v>3</v>
      </c>
      <c r="E17" s="905" t="s">
        <v>1338</v>
      </c>
      <c r="F17" s="1147" t="s">
        <v>324</v>
      </c>
      <c r="G17" s="1304"/>
      <c r="H17" s="1304"/>
      <c r="I17" s="1304"/>
      <c r="J17" s="1304"/>
      <c r="K17" s="5307"/>
      <c r="L17" s="5307"/>
      <c r="M17" s="5307"/>
      <c r="N17" s="5307"/>
      <c r="O17" s="5307"/>
      <c r="P17" s="5307"/>
      <c r="Q17" s="5307"/>
      <c r="R17" s="5307"/>
      <c r="S17" s="915" t="s">
        <v>1339</v>
      </c>
      <c r="AD17" s="1131">
        <v>0</v>
      </c>
    </row>
    <row customHeight="1" ht="48.29999999999999">
      <c r="A18" s="1131"/>
      <c r="C18" s="1152"/>
      <c r="D18" s="1147">
        <v>3</v>
      </c>
      <c r="E18" s="905" t="s">
        <v>836</v>
      </c>
      <c r="F18" s="1147" t="s">
        <v>324</v>
      </c>
      <c r="G18" s="1435" t="s">
        <v>324</v>
      </c>
      <c r="H18" s="1436" t="s">
        <v>324</v>
      </c>
      <c r="I18" s="1147" t="s">
        <v>324</v>
      </c>
      <c r="J18" s="1204" t="s">
        <v>324</v>
      </c>
      <c r="K18" s="4475" t="s">
        <v>324</v>
      </c>
      <c r="L18" s="4883" t="s">
        <v>324</v>
      </c>
      <c r="M18" s="4475" t="s">
        <v>324</v>
      </c>
      <c r="N18" s="4883" t="s">
        <v>324</v>
      </c>
      <c r="O18" s="4475" t="s">
        <v>324</v>
      </c>
      <c r="P18" s="4883" t="s">
        <v>324</v>
      </c>
      <c r="Q18" s="4475" t="s">
        <v>324</v>
      </c>
      <c r="R18" s="4883" t="s">
        <v>324</v>
      </c>
      <c r="S18" s="915" t="s">
        <v>1340</v>
      </c>
      <c r="AD18" s="1131">
        <v>46</v>
      </c>
    </row>
    <row customHeight="1" ht="36">
      <c r="A19" s="1131"/>
      <c r="C19" s="1152"/>
      <c r="D19" s="1165" t="s">
        <v>342</v>
      </c>
      <c r="E19" s="1185" t="s">
        <v>838</v>
      </c>
      <c r="F19" s="1147" t="s">
        <v>839</v>
      </c>
      <c r="G19" s="1443"/>
      <c r="H19" s="732"/>
      <c r="I19" s="1443">
        <v>392</v>
      </c>
      <c r="J19" s="1444"/>
      <c r="K19" s="4875">
        <v>0</v>
      </c>
      <c r="L19" s="4873"/>
      <c r="M19" s="4875">
        <v>0</v>
      </c>
      <c r="N19" s="4873"/>
      <c r="O19" s="4875">
        <v>0</v>
      </c>
      <c r="P19" s="4873"/>
      <c r="Q19" s="4875">
        <v>17</v>
      </c>
      <c r="R19" s="4873"/>
      <c r="S19" s="1305"/>
      <c r="AD19" s="1131">
        <v>34</v>
      </c>
    </row>
    <row customHeight="1" ht="36">
      <c r="A20" s="1131"/>
      <c r="C20" s="1152"/>
      <c r="D20" s="2516" t="s">
        <v>350</v>
      </c>
      <c r="E20" s="1185" t="s">
        <v>840</v>
      </c>
      <c r="F20" s="1147" t="s">
        <v>841</v>
      </c>
      <c r="G20" s="1443"/>
      <c r="H20" s="732"/>
      <c r="I20" s="1443">
        <v>16</v>
      </c>
      <c r="J20" s="732"/>
      <c r="K20" s="4875">
        <v>0</v>
      </c>
      <c r="L20" s="4873"/>
      <c r="M20" s="4875">
        <v>0</v>
      </c>
      <c r="N20" s="4873"/>
      <c r="O20" s="4875">
        <v>0</v>
      </c>
      <c r="P20" s="4873"/>
      <c r="Q20" s="4875">
        <v>16</v>
      </c>
      <c r="R20" s="4873"/>
      <c r="S20" s="1305"/>
      <c r="AD20" s="1131">
        <v>34</v>
      </c>
    </row>
    <row customHeight="1" ht="48.29999999999999">
      <c r="A21" s="1131"/>
      <c r="C21" s="1152"/>
      <c r="D21" s="2516" t="s">
        <v>352</v>
      </c>
      <c r="E21" s="1185" t="s">
        <v>842</v>
      </c>
      <c r="F21" s="1147" t="s">
        <v>589</v>
      </c>
      <c r="G21" s="1306"/>
      <c r="H21" s="732"/>
      <c r="I21" s="1306">
        <v>17326.53</v>
      </c>
      <c r="J21" s="732"/>
      <c r="K21" s="4877">
        <v>0</v>
      </c>
      <c r="L21" s="4873"/>
      <c r="M21" s="4877">
        <v>0</v>
      </c>
      <c r="N21" s="4873"/>
      <c r="O21" s="4877">
        <v>0</v>
      </c>
      <c r="P21" s="4873"/>
      <c r="Q21" s="4877">
        <v>1623.87</v>
      </c>
      <c r="R21" s="4873"/>
      <c r="S21" s="1305"/>
      <c r="AD21" s="1131">
        <v>46</v>
      </c>
    </row>
    <row customHeight="1" ht="67.5" hidden="1">
      <c r="A22" s="1131"/>
      <c r="C22" s="1152"/>
      <c r="D22" s="1147">
        <v>5</v>
      </c>
      <c r="E22" s="905" t="s">
        <v>1341</v>
      </c>
      <c r="F22" s="1147" t="s">
        <v>576</v>
      </c>
      <c r="G22" s="1307"/>
      <c r="H22" s="1308"/>
      <c r="I22" s="1307"/>
      <c r="J22" s="1308"/>
      <c r="K22" s="5315"/>
      <c r="L22" s="5316"/>
      <c r="M22" s="5315"/>
      <c r="N22" s="5316"/>
      <c r="O22" s="5315"/>
      <c r="P22" s="5316"/>
      <c r="Q22" s="5315"/>
      <c r="R22" s="5316"/>
      <c r="S22" s="915" t="s">
        <v>1342</v>
      </c>
      <c r="AD22" s="1131">
        <v>0</v>
      </c>
    </row>
    <row customHeight="1" ht="33.75" hidden="1">
      <c r="C23" s="1077"/>
      <c r="D23" s="1147">
        <v>6</v>
      </c>
      <c r="E23" s="905" t="s">
        <v>1343</v>
      </c>
      <c r="F23" s="1147" t="s">
        <v>1344</v>
      </c>
      <c r="G23" s="1307"/>
      <c r="H23" s="1307"/>
      <c r="I23" s="1307"/>
      <c r="J23" s="1307"/>
      <c r="K23" s="5315"/>
      <c r="L23" s="5315"/>
      <c r="M23" s="5315"/>
      <c r="N23" s="5315"/>
      <c r="O23" s="5315"/>
      <c r="P23" s="5315"/>
      <c r="Q23" s="5315"/>
      <c r="R23" s="5315"/>
      <c r="S23" s="915" t="s">
        <v>1345</v>
      </c>
      <c r="AD23" s="1131">
        <v>0</v>
      </c>
    </row>
    <row customHeight="1" ht="15.75">
      <c r="K24" s="4469"/>
      <c r="L24" s="4469"/>
      <c r="M24" s="4469"/>
      <c r="N24" s="4469"/>
      <c r="O24" s="4469"/>
      <c r="P24" s="4469"/>
      <c r="Q24" s="4469"/>
      <c r="R24" s="4469"/>
      <c r="AD24" s="1131">
        <v>15</v>
      </c>
    </row>
    <row customHeight="1" ht="15.75">
      <c r="K25" s="4469"/>
      <c r="L25" s="4469"/>
      <c r="M25" s="4469"/>
      <c r="N25" s="4469"/>
      <c r="O25" s="4469"/>
      <c r="P25" s="4469"/>
      <c r="Q25" s="4469"/>
      <c r="R25" s="4469"/>
      <c r="AD25" s="1131">
        <v>15</v>
      </c>
    </row>
    <row customHeight="1" ht="15.75">
      <c r="K26" s="4469"/>
      <c r="L26" s="4469"/>
      <c r="M26" s="4469"/>
      <c r="N26" s="4469"/>
      <c r="O26" s="4469"/>
      <c r="P26" s="4469"/>
      <c r="Q26" s="4469"/>
      <c r="R26" s="4469"/>
      <c r="AD26" s="1131">
        <v>15</v>
      </c>
    </row>
    <row customHeight="1" ht="15.75">
      <c r="K27" s="4469"/>
      <c r="L27" s="4469"/>
      <c r="M27" s="4469"/>
      <c r="N27" s="4469"/>
      <c r="O27" s="4469"/>
      <c r="P27" s="4469"/>
      <c r="Q27" s="4469"/>
      <c r="R27" s="4469"/>
      <c r="AD27" s="1131">
        <v>15</v>
      </c>
    </row>
    <row customHeight="1" ht="15.75">
      <c r="K28" s="4469"/>
      <c r="L28" s="4469"/>
      <c r="M28" s="4469"/>
      <c r="N28" s="4469"/>
      <c r="O28" s="4469"/>
      <c r="P28" s="4469"/>
      <c r="Q28" s="4469"/>
      <c r="R28" s="4469"/>
      <c r="AD28" s="1131">
        <v>15</v>
      </c>
    </row>
    <row customHeight="1" ht="15.75">
      <c r="J29" s="1445"/>
      <c r="K29" s="4469"/>
      <c r="L29" s="4469"/>
      <c r="M29" s="4469"/>
      <c r="N29" s="4469"/>
      <c r="O29" s="4469"/>
      <c r="P29" s="4469"/>
      <c r="Q29" s="4469"/>
      <c r="R29" s="4469"/>
      <c r="AD29" s="1131">
        <v>15</v>
      </c>
    </row>
    <row customHeight="1" ht="22.5" hidden="1">
      <c r="A30" s="1075" t="s">
        <v>82</v>
      </c>
      <c r="B30" s="1131">
        <v>0</v>
      </c>
      <c r="C30" s="1309">
        <v>4</v>
      </c>
      <c r="D30" s="1131">
        <v>6</v>
      </c>
      <c r="E30" s="1131">
        <v>47</v>
      </c>
      <c r="F30" s="1131">
        <v>9</v>
      </c>
      <c r="G30" s="1384">
        <v>0</v>
      </c>
      <c r="H30" s="1384">
        <v>0</v>
      </c>
      <c r="I30" s="1131">
        <v>25</v>
      </c>
      <c r="J30" s="1131">
        <v>33</v>
      </c>
      <c r="K30" s="4469">
        <v>0</v>
      </c>
      <c r="L30" s="4469">
        <v>0</v>
      </c>
      <c r="M30" s="4469">
        <v>0</v>
      </c>
      <c r="N30" s="4469">
        <v>0</v>
      </c>
      <c r="O30" s="4469">
        <v>0</v>
      </c>
      <c r="P30" s="4469">
        <v>0</v>
      </c>
      <c r="Q30" s="4469">
        <v>0</v>
      </c>
      <c r="R30" s="4469">
        <v>0</v>
      </c>
      <c r="S30" s="1043">
        <v>50</v>
      </c>
      <c r="T30" s="1131">
        <v>10</v>
      </c>
      <c r="U30" s="1131">
        <v>10</v>
      </c>
      <c r="V30" s="1131">
        <v>10</v>
      </c>
      <c r="W30" s="1131">
        <v>10</v>
      </c>
      <c r="X30" s="1131">
        <v>10</v>
      </c>
      <c r="Y30" s="1131">
        <v>10</v>
      </c>
      <c r="Z30" s="1131">
        <v>10</v>
      </c>
      <c r="AA30" s="1131">
        <v>10</v>
      </c>
      <c r="AB30" s="1131">
        <v>10</v>
      </c>
      <c r="AC30" s="1301">
        <v>10</v>
      </c>
      <c r="AD30" s="1131">
        <v>23</v>
      </c>
    </row>
  </sheetData>
  <sheetProtection sheet="1" formatColumns="0" formatRows="0" autoFilter="0" sort="1" insertRows="1" insertColumns="1" deleteRows="1" deleteColumns="1"/>
  <mergeCells count="25">
    <mergeCell ref="D5:J5"/>
    <mergeCell ref="D6:J6"/>
    <mergeCell ref="S9: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formula1>900</formula1>
    </dataValidation>
    <dataValidation type="whole" allowBlank="1" showErrorMessage="1" errorTitle="Ошибка" error="Допускается ввод только неотрицательных целых чисел!" sqref="G19:G20 I19:I20 K19 K20 M19 M20 O19 O20 Q19 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7CB6CAC-94B9-64C6-FC5C-74BA9782BDED}"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37238" width="32.57421875" customWidth="1"/>
    <col min="2" max="2" style="34718" width="11.00390625" customWidth="1"/>
    <col min="3" max="3" style="34718" width="9.140625"/>
    <col min="4" max="4" style="34718" width="26.57421875" customWidth="1"/>
    <col min="5" max="5" style="37077" width="36.8515625" customWidth="1"/>
    <col min="6" max="6" style="37077" width="23.57421875" customWidth="1"/>
    <col min="7" max="7" style="37077" width="31.421875" customWidth="1"/>
    <col min="8" max="8" style="37077" width="40.8515625" customWidth="1"/>
    <col min="9" max="9" style="37077" width="14.57421875" customWidth="1"/>
    <col min="10" max="10" style="37077" width="26.8515625" customWidth="1"/>
    <col min="11" max="11" style="37077" width="50.00390625" customWidth="1"/>
    <col min="12" max="12" style="37077" width="52.421875" customWidth="1"/>
    <col min="13" max="13" style="37077" width="10.7109375" customWidth="1"/>
    <col min="14" max="14" style="37077" width="55.140625" customWidth="1"/>
    <col min="15" max="15" style="37077" width="31.8515625" customWidth="1"/>
    <col min="16" max="16" style="37077" width="23.8515625" customWidth="1"/>
    <col min="17" max="17" style="37077" width="46.57421875" customWidth="1"/>
    <col min="18" max="18" style="37077" width="24.00390625" customWidth="1"/>
    <col min="19" max="19" style="37077" width="20.57421875" customWidth="1"/>
    <col min="20" max="20" style="37077" width="22.00390625" customWidth="1"/>
    <col min="21" max="22" style="37077" width="26.421875" customWidth="1"/>
    <col min="23" max="23" style="37077" width="8.28125" hidden="1" customWidth="1"/>
    <col min="24" max="24" style="37077" width="59.7109375" customWidth="1"/>
    <col min="25" max="25" style="37077" width="49.140625" customWidth="1"/>
    <col min="26" max="26" style="37077" width="11.140625" customWidth="1"/>
    <col min="27" max="30" style="37077" width="29.00390625" customWidth="1"/>
    <col min="31" max="31" style="37077" width="9.140625"/>
    <col min="32" max="32" style="37077" width="34.7109375" customWidth="1"/>
    <col min="33" max="33" style="37077" width="9.140625"/>
    <col min="34" max="35" style="37077" width="34.421875" customWidth="1"/>
    <col min="36" max="36" style="37077" width="9.140625"/>
    <col min="37" max="37" style="37077" width="24.57421875" customWidth="1"/>
    <col min="38" max="38" style="37077" width="9.140625"/>
    <col min="39" max="39" style="37077" width="26.140625" customWidth="1"/>
    <col min="40" max="40" style="37077" width="1.7109375" customWidth="1"/>
    <col min="41" max="41" style="37077" width="9.140625"/>
    <col min="42" max="43" style="37077" width="47.8515625" customWidth="1"/>
    <col min="44" max="44" style="37077" width="1.7109375" customWidth="1"/>
    <col min="45" max="45" style="37077" width="21.421875" customWidth="1"/>
    <col min="46" max="46" style="37077" width="1.7109375" customWidth="1"/>
    <col min="47" max="47" style="37077" width="31.28125" customWidth="1"/>
    <col min="48" max="48" style="37077" width="1.7109375" customWidth="1"/>
    <col min="49" max="50" style="37077" width="9.140625"/>
    <col min="51" max="51" style="37077" width="3.7109375" customWidth="1"/>
    <col min="52" max="52" style="37077" width="60.8515625" customWidth="1"/>
    <col min="53" max="53" style="37077" width="49.28125" customWidth="1"/>
    <col min="54" max="54" style="37077" width="35.140625" customWidth="1"/>
    <col min="55" max="55" style="37077" width="9.140625"/>
    <col min="56" max="56" style="37077" width="1.7109375" customWidth="1"/>
    <col min="57" max="57" style="37239" width="12.57421875" customWidth="1"/>
    <col min="58" max="58" style="37239" width="14.28125" customWidth="1"/>
    <col min="59" max="59" style="37077" width="30.7109375" customWidth="1"/>
    <col min="60" max="60" style="37240" width="40.7109375" customWidth="1"/>
    <col min="61" max="61" style="37240" width="15.00390625" customWidth="1"/>
    <col min="62" max="62" style="37240" width="40.7109375" customWidth="1"/>
    <col min="63" max="63" style="37240" width="2.7109375" customWidth="1"/>
    <col min="64" max="64" style="37240" width="44.7109375" customWidth="1"/>
    <col min="65" max="65" style="37240" width="2.7109375" customWidth="1"/>
    <col min="66" max="66" style="37240" width="40.7109375" customWidth="1"/>
    <col min="67" max="68" style="37077" width="9.140625"/>
    <col min="69" max="69" style="37077" width="18.140625" customWidth="1"/>
    <col min="70" max="70" style="37077" width="57.8515625" customWidth="1"/>
    <col min="71" max="71" style="37077" width="1.7109375" customWidth="1"/>
    <col min="72" max="72" style="37077" width="22.57421875" customWidth="1"/>
    <col min="73" max="73" style="37077" width="57.8515625" customWidth="1"/>
    <col min="74" max="74" style="37077" width="1.7109375" customWidth="1"/>
    <col min="75" max="75" style="37077" width="22.57421875" customWidth="1"/>
    <col min="76" max="76" style="37077" width="57.8515625" customWidth="1"/>
    <col min="77" max="77" style="37077" width="1.7109375" customWidth="1"/>
    <col min="78" max="78" style="37077" width="22.57421875" customWidth="1"/>
    <col min="79" max="79" style="37077" width="57.8515625" customWidth="1"/>
    <col min="80" max="81" style="37077" width="9.140625"/>
    <col min="82" max="82" style="37077" width="49.57421875" customWidth="1"/>
  </cols>
  <sheetData>
    <row s="37141" customFormat="1" customHeight="1" ht="11.25">
      <c r="A1" s="1693" t="s">
        <v>1346</v>
      </c>
      <c r="B1" s="1693" t="s">
        <v>1347</v>
      </c>
      <c r="C1" s="1693" t="s">
        <v>1348</v>
      </c>
      <c r="D1" s="1693" t="s">
        <v>1349</v>
      </c>
      <c r="E1" s="1693" t="s">
        <v>1350</v>
      </c>
      <c r="F1" s="1693" t="s">
        <v>1351</v>
      </c>
      <c r="G1" s="1693" t="s">
        <v>1352</v>
      </c>
      <c r="H1" s="1693" t="s">
        <v>1353</v>
      </c>
      <c r="I1" s="1693" t="s">
        <v>1354</v>
      </c>
      <c r="J1" s="1693" t="s">
        <v>1355</v>
      </c>
      <c r="K1" s="1693" t="s">
        <v>1356</v>
      </c>
      <c r="L1" s="1693" t="s">
        <v>1357</v>
      </c>
      <c r="M1" s="1693"/>
      <c r="N1" s="1693" t="s">
        <v>1358</v>
      </c>
      <c r="O1" s="1693" t="s">
        <v>1359</v>
      </c>
      <c r="P1" s="1693" t="s">
        <v>1360</v>
      </c>
      <c r="Q1" s="1693" t="s">
        <v>1361</v>
      </c>
      <c r="R1" s="1693" t="s">
        <v>1362</v>
      </c>
      <c r="S1" s="1693" t="s">
        <v>1363</v>
      </c>
      <c r="T1" s="1693" t="s">
        <v>1364</v>
      </c>
      <c r="U1" s="1693" t="s">
        <v>1365</v>
      </c>
      <c r="V1" s="1693"/>
      <c r="W1" s="1423" t="s">
        <v>1366</v>
      </c>
      <c r="X1" s="1693" t="s">
        <v>1367</v>
      </c>
      <c r="Y1" s="1693" t="s">
        <v>1368</v>
      </c>
      <c r="Z1" s="1693"/>
      <c r="AA1" s="1693" t="s">
        <v>1369</v>
      </c>
      <c r="AB1" s="1693"/>
      <c r="AC1" s="1693" t="s">
        <v>1370</v>
      </c>
      <c r="AD1" s="1693"/>
      <c r="AF1" s="1693" t="s">
        <v>1371</v>
      </c>
      <c r="AH1" s="1693" t="s">
        <v>1372</v>
      </c>
      <c r="AI1" s="1693" t="s">
        <v>1373</v>
      </c>
      <c r="AK1" s="1693" t="s">
        <v>1374</v>
      </c>
      <c r="AM1" s="1693" t="s">
        <v>1375</v>
      </c>
      <c r="AP1" s="1693" t="s">
        <v>1376</v>
      </c>
      <c r="AQ1" s="1693" t="s">
        <v>1377</v>
      </c>
      <c r="AS1" s="1693" t="s">
        <v>1378</v>
      </c>
      <c r="AU1" s="1693" t="s">
        <v>1379</v>
      </c>
      <c r="AW1" s="1693" t="s">
        <v>1380</v>
      </c>
      <c r="AX1" s="1693" t="s">
        <v>1381</v>
      </c>
      <c r="AZ1" s="1778" t="s">
        <v>1382</v>
      </c>
      <c r="BB1" s="1693" t="s">
        <v>1383</v>
      </c>
      <c r="BC1" s="1693"/>
      <c r="BE1" s="1693" t="s">
        <v>1384</v>
      </c>
      <c r="BF1" s="1693" t="s">
        <v>1385</v>
      </c>
      <c r="BH1" s="1695" t="s">
        <v>829</v>
      </c>
      <c r="BI1" s="1696"/>
      <c r="BJ1" s="1697" t="s">
        <v>1386</v>
      </c>
      <c r="BK1" s="1696"/>
      <c r="BL1" s="1698" t="s">
        <v>928</v>
      </c>
      <c r="BM1" s="1696"/>
      <c r="BN1" s="1699" t="s">
        <v>1387</v>
      </c>
      <c r="BS1" s="2053"/>
    </row>
    <row customHeight="1" ht="11.25">
      <c r="A2" s="1700" t="s">
        <v>1388</v>
      </c>
      <c r="B2" s="1701">
        <v>2000</v>
      </c>
      <c r="C2" s="1701">
        <v>2022</v>
      </c>
      <c r="D2" s="1701" t="s">
        <v>66</v>
      </c>
      <c r="E2" s="1702" t="s">
        <v>1389</v>
      </c>
      <c r="F2" s="1702" t="s">
        <v>1390</v>
      </c>
      <c r="G2" s="1702" t="s">
        <v>1391</v>
      </c>
      <c r="H2" s="1703" t="s">
        <v>55</v>
      </c>
      <c r="I2" s="1702" t="s">
        <v>118</v>
      </c>
      <c r="J2" s="1702" t="s">
        <v>1392</v>
      </c>
      <c r="K2" s="1704" t="s">
        <v>1393</v>
      </c>
      <c r="L2" s="1705"/>
      <c r="M2" s="1704">
        <v>1</v>
      </c>
      <c r="N2" s="1788" t="s">
        <v>1394</v>
      </c>
      <c r="O2" s="1703" t="s">
        <v>1395</v>
      </c>
      <c r="P2" s="1706" t="s">
        <v>38</v>
      </c>
      <c r="Q2" s="1707" t="s">
        <v>1396</v>
      </c>
      <c r="R2" s="769" t="s">
        <v>1397</v>
      </c>
      <c r="S2" s="769" t="s">
        <v>1398</v>
      </c>
      <c r="T2" s="1708" t="s">
        <v>1399</v>
      </c>
      <c r="U2" s="1705" t="s">
        <v>1400</v>
      </c>
      <c r="V2" s="1709">
        <v>1</v>
      </c>
      <c r="W2" s="1710"/>
      <c r="X2" s="1710" t="s">
        <v>1401</v>
      </c>
      <c r="Y2" s="1701" t="s">
        <v>1402</v>
      </c>
      <c r="Z2" s="1711"/>
      <c r="AA2" s="1701" t="s">
        <v>1403</v>
      </c>
      <c r="AB2" s="1712" t="s">
        <v>1403</v>
      </c>
      <c r="AC2" s="1701" t="s">
        <v>1404</v>
      </c>
      <c r="AD2" s="1712" t="s">
        <v>1404</v>
      </c>
      <c r="AF2" s="1703" t="s">
        <v>1400</v>
      </c>
      <c r="AH2" s="1702" t="s">
        <v>1405</v>
      </c>
      <c r="AI2" s="1702" t="s">
        <v>1405</v>
      </c>
      <c r="AK2" s="1702" t="s">
        <v>1406</v>
      </c>
      <c r="AM2" s="1702" t="s">
        <v>1407</v>
      </c>
      <c r="AP2" s="1713" t="s">
        <v>1401</v>
      </c>
      <c r="AQ2" s="1714" t="s">
        <v>1401</v>
      </c>
      <c r="AS2" s="1701" t="s">
        <v>1408</v>
      </c>
      <c r="AU2" s="1746" t="s">
        <v>1409</v>
      </c>
      <c r="AW2" s="1746" t="s">
        <v>1410</v>
      </c>
      <c r="AX2" s="1746" t="s">
        <v>1410</v>
      </c>
      <c r="AZ2" s="1746" t="s">
        <v>1411</v>
      </c>
      <c r="BB2" s="1746" t="s">
        <v>1412</v>
      </c>
      <c r="BC2" s="1746" t="s">
        <v>1413</v>
      </c>
      <c r="BE2" s="1746">
        <v>2000</v>
      </c>
      <c r="BF2" s="1746" t="s">
        <v>1414</v>
      </c>
    </row>
    <row customHeight="1" ht="11.25">
      <c r="A3" s="1700" t="s">
        <v>16</v>
      </c>
      <c r="B3" s="1701">
        <v>2001</v>
      </c>
      <c r="C3" s="1701">
        <v>2023</v>
      </c>
      <c r="D3" s="1701" t="s">
        <v>19</v>
      </c>
      <c r="E3" s="1702" t="s">
        <v>1415</v>
      </c>
      <c r="F3" s="1702" t="s">
        <v>35</v>
      </c>
      <c r="G3" s="1702" t="s">
        <v>1416</v>
      </c>
      <c r="H3" s="1703" t="s">
        <v>1417</v>
      </c>
      <c r="I3" s="1702" t="s">
        <v>102</v>
      </c>
      <c r="J3" s="1702" t="s">
        <v>574</v>
      </c>
      <c r="K3" s="1704" t="s">
        <v>1418</v>
      </c>
      <c r="L3" s="1705">
        <f>_xlfn.IFERROR(MATCH(K3,OFFER_METHOD,0),0)</f>
        <v>0</v>
      </c>
      <c r="M3" s="1704">
        <v>2</v>
      </c>
      <c r="N3" s="1788" t="s">
        <v>1419</v>
      </c>
      <c r="O3" s="1703" t="s">
        <v>1420</v>
      </c>
      <c r="P3" s="1706" t="s">
        <v>1421</v>
      </c>
      <c r="Q3" s="1707" t="s">
        <v>1422</v>
      </c>
      <c r="R3" s="769" t="s">
        <v>1423</v>
      </c>
      <c r="S3" s="769" t="s">
        <v>1424</v>
      </c>
      <c r="T3" s="1708" t="s">
        <v>1425</v>
      </c>
      <c r="U3" s="1705" t="s">
        <v>1426</v>
      </c>
      <c r="V3" s="1709">
        <v>2</v>
      </c>
      <c r="W3" s="1710"/>
      <c r="X3" s="1710" t="s">
        <v>1427</v>
      </c>
      <c r="Y3" s="1701" t="s">
        <v>1402</v>
      </c>
      <c r="Z3" s="1711"/>
      <c r="AA3" s="1701" t="s">
        <v>1428</v>
      </c>
      <c r="AB3" s="1712" t="s">
        <v>1428</v>
      </c>
      <c r="AC3" s="1701" t="s">
        <v>1429</v>
      </c>
      <c r="AD3" s="1712" t="s">
        <v>1429</v>
      </c>
      <c r="AF3" s="1703" t="s">
        <v>1426</v>
      </c>
      <c r="AH3" s="1702" t="s">
        <v>1430</v>
      </c>
      <c r="AI3" s="1702" t="s">
        <v>1431</v>
      </c>
      <c r="AK3" s="1702" t="s">
        <v>1432</v>
      </c>
      <c r="AM3" s="1702" t="s">
        <v>1433</v>
      </c>
      <c r="AP3" s="1713" t="s">
        <v>1434</v>
      </c>
      <c r="AQ3" s="1714" t="s">
        <v>1434</v>
      </c>
      <c r="AS3" s="1701" t="s">
        <v>1435</v>
      </c>
      <c r="AU3" s="1746" t="s">
        <v>1436</v>
      </c>
      <c r="AW3" s="1746" t="s">
        <v>1437</v>
      </c>
      <c r="AX3" s="1746" t="s">
        <v>1437</v>
      </c>
      <c r="AZ3" s="1746" t="s">
        <v>53</v>
      </c>
      <c r="BB3" s="1746" t="s">
        <v>1438</v>
      </c>
      <c r="BC3" s="1746" t="s">
        <v>1413</v>
      </c>
      <c r="BE3" s="1746">
        <v>2001</v>
      </c>
      <c r="BF3" s="1746" t="s">
        <v>1439</v>
      </c>
      <c r="BH3" s="1693" t="s">
        <v>1440</v>
      </c>
      <c r="BJ3" s="1693" t="s">
        <v>1441</v>
      </c>
      <c r="BL3" s="1693" t="s">
        <v>1442</v>
      </c>
      <c r="BN3" s="1693" t="s">
        <v>1443</v>
      </c>
      <c r="BR3" s="1693" t="s">
        <v>1444</v>
      </c>
      <c r="BS3" s="2054"/>
      <c r="BT3" s="1696"/>
      <c r="BU3" s="1693" t="s">
        <v>1445</v>
      </c>
      <c r="BV3" s="1696"/>
      <c r="BW3" s="2316"/>
      <c r="BX3" s="2318" t="s">
        <v>1446</v>
      </c>
      <c r="CA3" s="1693" t="s">
        <v>1447</v>
      </c>
    </row>
    <row customHeight="1" ht="11.25">
      <c r="A4" s="1700" t="s">
        <v>1448</v>
      </c>
      <c r="B4" s="1701">
        <v>2002</v>
      </c>
      <c r="C4" s="1701">
        <v>2024</v>
      </c>
      <c r="E4" s="1702" t="s">
        <v>1449</v>
      </c>
      <c r="F4" s="1702" t="s">
        <v>1450</v>
      </c>
      <c r="H4" s="1703" t="s">
        <v>1451</v>
      </c>
      <c r="I4" s="1702" t="s">
        <v>90</v>
      </c>
      <c r="J4" s="1702" t="s">
        <v>1452</v>
      </c>
      <c r="K4" s="1704" t="s">
        <v>1453</v>
      </c>
      <c r="L4" s="1705">
        <f>_xlfn.IFERROR(MATCH(K4,OFFER_METHOD,0),0)</f>
        <v>0</v>
      </c>
      <c r="M4" s="1704">
        <v>3</v>
      </c>
      <c r="N4" s="1788" t="s">
        <v>1454</v>
      </c>
      <c r="O4" s="1702" t="s">
        <v>1455</v>
      </c>
      <c r="Q4" s="1707" t="s">
        <v>1456</v>
      </c>
      <c r="R4" s="769" t="s">
        <v>1457</v>
      </c>
      <c r="S4" s="769" t="s">
        <v>1458</v>
      </c>
      <c r="T4" s="1708" t="s">
        <v>1459</v>
      </c>
      <c r="U4" s="1705" t="s">
        <v>1460</v>
      </c>
      <c r="V4" s="1709">
        <v>3</v>
      </c>
      <c r="W4" s="1710"/>
      <c r="X4" s="1710" t="s">
        <v>1461</v>
      </c>
      <c r="Y4" s="1701" t="s">
        <v>1402</v>
      </c>
      <c r="Z4" s="1717"/>
      <c r="AC4" s="1701" t="s">
        <v>1462</v>
      </c>
      <c r="AD4" s="1712" t="s">
        <v>1462</v>
      </c>
      <c r="AF4" s="1703" t="s">
        <v>1460</v>
      </c>
      <c r="AH4" s="1703" t="s">
        <v>1463</v>
      </c>
      <c r="AK4" s="1702" t="s">
        <v>1464</v>
      </c>
      <c r="AM4" s="1702" t="s">
        <v>1465</v>
      </c>
      <c r="AP4" s="1713" t="s">
        <v>1427</v>
      </c>
      <c r="AQ4" s="1714" t="s">
        <v>1427</v>
      </c>
      <c r="AS4" s="1701" t="s">
        <v>1466</v>
      </c>
      <c r="AU4" s="1746" t="s">
        <v>1467</v>
      </c>
      <c r="AW4" s="1746" t="s">
        <v>1468</v>
      </c>
      <c r="AX4" s="1746" t="s">
        <v>1468</v>
      </c>
      <c r="AZ4" s="1746" t="s">
        <v>1469</v>
      </c>
      <c r="BB4" s="1746" t="s">
        <v>1470</v>
      </c>
      <c r="BC4" s="1746" t="s">
        <v>1471</v>
      </c>
      <c r="BE4" s="1746">
        <v>2002</v>
      </c>
      <c r="BF4" s="1746" t="s">
        <v>1472</v>
      </c>
      <c r="BH4" s="1694" t="s">
        <v>1473</v>
      </c>
      <c r="BJ4" s="1694" t="s">
        <v>1473</v>
      </c>
      <c r="BL4" s="1694" t="s">
        <v>1473</v>
      </c>
      <c r="BN4" s="1694" t="s">
        <v>1473</v>
      </c>
      <c r="BQ4" s="2058" t="s">
        <v>1474</v>
      </c>
      <c r="BR4" s="1785" t="s">
        <v>1475</v>
      </c>
      <c r="BS4" s="900"/>
      <c r="BT4" s="2058" t="s">
        <v>1476</v>
      </c>
      <c r="BU4" s="1785" t="s">
        <v>1477</v>
      </c>
      <c r="BV4" s="1696"/>
      <c r="BW4" s="2323" t="s">
        <v>1478</v>
      </c>
      <c r="BX4" s="2317" t="s">
        <v>1479</v>
      </c>
      <c r="BZ4" s="2058" t="s">
        <v>1480</v>
      </c>
      <c r="CA4" s="1785" t="s">
        <v>1481</v>
      </c>
    </row>
    <row customHeight="1" ht="11.25">
      <c r="A5" s="1700" t="s">
        <v>1482</v>
      </c>
      <c r="B5" s="1701">
        <v>2003</v>
      </c>
      <c r="C5" s="1701">
        <v>2025</v>
      </c>
      <c r="E5" s="1702" t="s">
        <v>1483</v>
      </c>
      <c r="F5" s="1702" t="s">
        <v>1484</v>
      </c>
      <c r="H5" s="1703" t="s">
        <v>1485</v>
      </c>
      <c r="I5" s="1702" t="s">
        <v>91</v>
      </c>
      <c r="K5" s="1704" t="s">
        <v>1486</v>
      </c>
      <c r="L5" s="1705">
        <f>_xlfn.IFERROR(MATCH(K5,OFFER_METHOD,0),0)</f>
        <v>0</v>
      </c>
      <c r="M5" s="1704">
        <v>4</v>
      </c>
      <c r="N5" s="1718" t="s">
        <v>1487</v>
      </c>
      <c r="O5" s="1702" t="s">
        <v>1488</v>
      </c>
      <c r="Q5" s="1707" t="s">
        <v>1489</v>
      </c>
      <c r="R5" s="769" t="s">
        <v>1490</v>
      </c>
      <c r="T5" s="1703" t="s">
        <v>1491</v>
      </c>
      <c r="U5" s="1705" t="s">
        <v>1492</v>
      </c>
      <c r="V5" s="1709">
        <v>4</v>
      </c>
      <c r="W5" s="1710"/>
      <c r="X5" s="1710" t="s">
        <v>186</v>
      </c>
      <c r="Y5" s="1701" t="s">
        <v>1493</v>
      </c>
      <c r="Z5" s="1717">
        <v>1</v>
      </c>
      <c r="AF5" s="1703" t="s">
        <v>1494</v>
      </c>
      <c r="AH5" s="1702" t="s">
        <v>1495</v>
      </c>
      <c r="AK5" s="1702" t="s">
        <v>1496</v>
      </c>
      <c r="AM5" s="1702" t="s">
        <v>1497</v>
      </c>
      <c r="AP5" s="1713" t="s">
        <v>186</v>
      </c>
      <c r="AQ5" s="1714" t="s">
        <v>186</v>
      </c>
      <c r="AU5" s="1746" t="s">
        <v>1498</v>
      </c>
      <c r="AW5" s="1746" t="s">
        <v>1499</v>
      </c>
      <c r="AX5" s="1746" t="s">
        <v>1499</v>
      </c>
      <c r="AZ5" s="1746" t="s">
        <v>1500</v>
      </c>
      <c r="BB5" s="1746" t="s">
        <v>1501</v>
      </c>
      <c r="BC5" s="1746" t="s">
        <v>1502</v>
      </c>
      <c r="BE5" s="1746">
        <v>2003</v>
      </c>
      <c r="BF5" s="1746" t="s">
        <v>1503</v>
      </c>
      <c r="BH5" s="1694" t="s">
        <v>1504</v>
      </c>
      <c r="BJ5" s="1694" t="s">
        <v>1504</v>
      </c>
      <c r="BL5" s="1694" t="s">
        <v>1504</v>
      </c>
      <c r="BN5" s="1694" t="s">
        <v>1505</v>
      </c>
      <c r="BQ5" s="1907">
        <v>4213775</v>
      </c>
      <c r="BR5" s="1694" t="s">
        <v>1401</v>
      </c>
      <c r="BS5" s="2055"/>
      <c r="BT5" s="1907">
        <v>64236871</v>
      </c>
      <c r="BU5" s="1694" t="s">
        <v>247</v>
      </c>
      <c r="BV5" s="1696"/>
      <c r="BW5" s="2321">
        <v>4213767</v>
      </c>
      <c r="BX5" s="2319" t="s">
        <v>1506</v>
      </c>
      <c r="BZ5" s="1907">
        <v>64237509</v>
      </c>
      <c r="CA5" s="1921" t="s">
        <v>1507</v>
      </c>
    </row>
    <row customHeight="1" ht="11.25">
      <c r="A6" s="1700" t="s">
        <v>1508</v>
      </c>
      <c r="B6" s="1701">
        <v>2004</v>
      </c>
      <c r="C6" s="1701">
        <v>2026</v>
      </c>
      <c r="E6" s="1702" t="s">
        <v>1509</v>
      </c>
      <c r="F6" s="1719"/>
      <c r="H6" s="1703" t="s">
        <v>1510</v>
      </c>
      <c r="I6" s="1702" t="s">
        <v>119</v>
      </c>
      <c r="J6" s="1693" t="s">
        <v>1511</v>
      </c>
      <c r="L6" s="1705">
        <f>SUM(kind_of_control_method_filter)</f>
        <v>0</v>
      </c>
      <c r="N6" s="1718" t="s">
        <v>1512</v>
      </c>
      <c r="O6" s="1702" t="s">
        <v>1513</v>
      </c>
      <c r="R6" s="769" t="s">
        <v>1396</v>
      </c>
      <c r="T6" s="1703" t="s">
        <v>1514</v>
      </c>
      <c r="U6" s="1705" t="s">
        <v>1494</v>
      </c>
      <c r="V6" s="1709">
        <v>5</v>
      </c>
      <c r="W6" s="1710"/>
      <c r="X6" s="1701" t="s">
        <v>192</v>
      </c>
      <c r="Y6" s="1701" t="s">
        <v>1515</v>
      </c>
      <c r="Z6" s="1717"/>
      <c r="AA6" s="1720"/>
      <c r="AH6" s="1702" t="s">
        <v>1516</v>
      </c>
      <c r="AK6" s="1702" t="s">
        <v>1517</v>
      </c>
      <c r="AM6" s="1702" t="s">
        <v>1518</v>
      </c>
      <c r="AP6" s="1713" t="s">
        <v>192</v>
      </c>
      <c r="AQ6" s="1714" t="s">
        <v>192</v>
      </c>
      <c r="AU6" s="1746" t="s">
        <v>1519</v>
      </c>
      <c r="AW6" s="1746" t="s">
        <v>1520</v>
      </c>
      <c r="AX6" s="1746" t="s">
        <v>1520</v>
      </c>
      <c r="BB6" s="1746" t="s">
        <v>1521</v>
      </c>
      <c r="BC6" s="1746" t="s">
        <v>1502</v>
      </c>
      <c r="BE6" s="1746">
        <v>2004</v>
      </c>
      <c r="BF6" s="1746" t="s">
        <v>1522</v>
      </c>
      <c r="BH6" s="1694" t="s">
        <v>1523</v>
      </c>
      <c r="BJ6" s="1694" t="s">
        <v>1524</v>
      </c>
      <c r="BL6" s="1694" t="s">
        <v>1524</v>
      </c>
      <c r="BN6" s="1694" t="s">
        <v>1525</v>
      </c>
      <c r="BQ6" s="1907">
        <v>4213784</v>
      </c>
      <c r="BR6" s="1921" t="s">
        <v>1434</v>
      </c>
      <c r="BS6" s="2056"/>
      <c r="BT6" s="1907">
        <v>64236872</v>
      </c>
      <c r="BU6" s="1694" t="s">
        <v>252</v>
      </c>
      <c r="BV6" s="1696"/>
      <c r="BW6" s="2321">
        <v>4213768</v>
      </c>
      <c r="BX6" s="2319" t="s">
        <v>272</v>
      </c>
      <c r="BZ6" s="1907">
        <v>64237510</v>
      </c>
      <c r="CA6" s="1694" t="s">
        <v>1526</v>
      </c>
    </row>
    <row customHeight="1" ht="11.25">
      <c r="A7" s="1700" t="s">
        <v>1527</v>
      </c>
      <c r="B7" s="1701">
        <v>2005</v>
      </c>
      <c r="E7" s="1702" t="s">
        <v>1528</v>
      </c>
      <c r="F7" s="1719"/>
      <c r="H7" s="1703" t="s">
        <v>1529</v>
      </c>
      <c r="I7" s="1702" t="s">
        <v>92</v>
      </c>
      <c r="J7" s="1702" t="s">
        <v>1530</v>
      </c>
      <c r="N7" s="1722" t="s">
        <v>1531</v>
      </c>
      <c r="O7" s="1702" t="s">
        <v>1532</v>
      </c>
      <c r="U7" s="1705" t="s">
        <v>19</v>
      </c>
      <c r="V7" s="996" t="s">
        <v>92</v>
      </c>
      <c r="W7" s="1710"/>
      <c r="X7" s="1701" t="s">
        <v>198</v>
      </c>
      <c r="Y7" s="1701" t="s">
        <v>1493</v>
      </c>
      <c r="Z7" s="1717"/>
      <c r="AA7" s="1720"/>
      <c r="AH7" s="1702" t="s">
        <v>1533</v>
      </c>
      <c r="AK7" s="1702" t="s">
        <v>1534</v>
      </c>
      <c r="AM7" s="1702" t="s">
        <v>1535</v>
      </c>
      <c r="AP7" s="1713" t="s">
        <v>198</v>
      </c>
      <c r="AQ7" s="1714" t="s">
        <v>198</v>
      </c>
      <c r="AU7" s="1746" t="s">
        <v>1536</v>
      </c>
      <c r="AW7" s="1746" t="s">
        <v>1537</v>
      </c>
      <c r="AX7" s="1746" t="s">
        <v>1537</v>
      </c>
      <c r="AZ7" s="1693" t="s">
        <v>1538</v>
      </c>
      <c r="BB7" s="1746" t="s">
        <v>1539</v>
      </c>
      <c r="BC7" s="1746" t="s">
        <v>1502</v>
      </c>
      <c r="BE7" s="1746">
        <v>2005</v>
      </c>
      <c r="BF7" s="1746" t="s">
        <v>1540</v>
      </c>
      <c r="BH7" s="1694" t="s">
        <v>1541</v>
      </c>
      <c r="BJ7" s="1694" t="s">
        <v>1523</v>
      </c>
      <c r="BL7" s="1694" t="s">
        <v>1523</v>
      </c>
      <c r="BN7" s="1694" t="s">
        <v>1542</v>
      </c>
      <c r="BQ7" s="1907">
        <v>4213781</v>
      </c>
      <c r="BR7" s="1694" t="s">
        <v>1427</v>
      </c>
      <c r="BS7" s="2055"/>
      <c r="BT7" s="1907">
        <v>64236873</v>
      </c>
      <c r="BU7" s="1694" t="s">
        <v>257</v>
      </c>
      <c r="BV7" s="1696"/>
      <c r="BW7" s="2321">
        <v>4213769</v>
      </c>
      <c r="BX7" s="2319" t="s">
        <v>1543</v>
      </c>
      <c r="BZ7" s="1907">
        <v>64237511</v>
      </c>
      <c r="CA7" s="1694" t="s">
        <v>287</v>
      </c>
    </row>
    <row customHeight="1" ht="11.25">
      <c r="A8" s="1700" t="s">
        <v>1544</v>
      </c>
      <c r="B8" s="1701">
        <v>2006</v>
      </c>
      <c r="E8" s="1702" t="s">
        <v>1545</v>
      </c>
      <c r="F8" s="1719"/>
      <c r="H8" s="1703" t="s">
        <v>1546</v>
      </c>
      <c r="I8" s="1702" t="s">
        <v>93</v>
      </c>
      <c r="J8" s="1702" t="s">
        <v>1547</v>
      </c>
      <c r="N8" s="1789" t="s">
        <v>1548</v>
      </c>
      <c r="O8" s="1702" t="s">
        <v>1549</v>
      </c>
      <c r="V8" s="996" t="s">
        <v>93</v>
      </c>
      <c r="W8" s="1710"/>
      <c r="X8" s="1701" t="s">
        <v>204</v>
      </c>
      <c r="Y8" s="1701" t="s">
        <v>1493</v>
      </c>
      <c r="Z8" s="1717"/>
      <c r="AA8" s="1720"/>
      <c r="AK8" s="1702" t="s">
        <v>1550</v>
      </c>
      <c r="AP8" s="1713" t="s">
        <v>204</v>
      </c>
      <c r="AQ8" s="1714" t="s">
        <v>204</v>
      </c>
      <c r="AU8" s="1746" t="s">
        <v>1551</v>
      </c>
      <c r="AW8" s="1746" t="s">
        <v>1552</v>
      </c>
      <c r="AX8" s="1746" t="s">
        <v>1552</v>
      </c>
      <c r="AZ8" s="1746" t="s">
        <v>1553</v>
      </c>
      <c r="BB8" s="1746" t="s">
        <v>1554</v>
      </c>
      <c r="BC8" s="1746" t="s">
        <v>1502</v>
      </c>
      <c r="BE8" s="1746">
        <v>2006</v>
      </c>
      <c r="BF8" s="1746" t="s">
        <v>1555</v>
      </c>
      <c r="BH8" s="1694" t="s">
        <v>1556</v>
      </c>
      <c r="BJ8" s="1694" t="s">
        <v>1557</v>
      </c>
      <c r="BL8" s="1694" t="s">
        <v>1557</v>
      </c>
      <c r="BN8" s="1694" t="s">
        <v>1558</v>
      </c>
      <c r="BQ8" s="1907">
        <v>4213776</v>
      </c>
      <c r="BR8" s="1694" t="s">
        <v>186</v>
      </c>
      <c r="BS8" s="2055"/>
      <c r="BT8" s="1907">
        <v>64236874</v>
      </c>
      <c r="BU8" s="1921" t="s">
        <v>1559</v>
      </c>
      <c r="BV8" s="1696"/>
      <c r="BW8" s="2321">
        <v>4213770</v>
      </c>
      <c r="BX8" s="2322" t="s">
        <v>1560</v>
      </c>
      <c r="BZ8" s="1907">
        <v>64237512</v>
      </c>
      <c r="CA8" s="1694" t="s">
        <v>282</v>
      </c>
    </row>
    <row customHeight="1" ht="11.25">
      <c r="A9" s="1700" t="s">
        <v>1561</v>
      </c>
      <c r="B9" s="1701">
        <v>2007</v>
      </c>
      <c r="E9" s="1702" t="s">
        <v>1562</v>
      </c>
      <c r="F9" s="1719"/>
      <c r="G9" s="1693" t="s">
        <v>1563</v>
      </c>
      <c r="H9" s="1693" t="s">
        <v>1564</v>
      </c>
      <c r="I9" s="1702" t="s">
        <v>120</v>
      </c>
      <c r="O9" s="1702" t="s">
        <v>1565</v>
      </c>
      <c r="V9" s="996" t="s">
        <v>120</v>
      </c>
      <c r="W9" s="1710"/>
      <c r="X9" s="1701" t="s">
        <v>210</v>
      </c>
      <c r="Y9" s="1701" t="s">
        <v>1402</v>
      </c>
      <c r="Z9" s="1717">
        <v>1</v>
      </c>
      <c r="AA9" s="1720"/>
      <c r="AK9" s="1702" t="s">
        <v>1566</v>
      </c>
      <c r="AP9" s="1713" t="s">
        <v>1567</v>
      </c>
      <c r="AQ9" s="1714" t="s">
        <v>1567</v>
      </c>
      <c r="AW9" s="1746" t="s">
        <v>1568</v>
      </c>
      <c r="AX9" s="1746" t="s">
        <v>1568</v>
      </c>
      <c r="AZ9" s="1746" t="s">
        <v>1569</v>
      </c>
      <c r="BB9" s="1746" t="s">
        <v>1570</v>
      </c>
      <c r="BC9" s="1746" t="s">
        <v>1502</v>
      </c>
      <c r="BE9" s="1746">
        <v>2007</v>
      </c>
      <c r="BF9" s="1746" t="s">
        <v>1571</v>
      </c>
      <c r="BH9" s="1694" t="s">
        <v>1572</v>
      </c>
      <c r="BJ9" s="1694" t="s">
        <v>1573</v>
      </c>
      <c r="BL9" s="1694" t="s">
        <v>1573</v>
      </c>
      <c r="BN9" s="1694" t="s">
        <v>1574</v>
      </c>
      <c r="BQ9" s="1907">
        <v>4213777</v>
      </c>
      <c r="BR9" s="1694" t="s">
        <v>192</v>
      </c>
      <c r="BS9" s="2055"/>
      <c r="BT9" s="1907">
        <v>64236875</v>
      </c>
      <c r="BU9" s="1694" t="s">
        <v>262</v>
      </c>
      <c r="BV9" s="1696"/>
      <c r="BW9" s="2316"/>
      <c r="BX9" s="2316"/>
    </row>
    <row customHeight="1" ht="11.25">
      <c r="A10" s="1700" t="s">
        <v>1575</v>
      </c>
      <c r="B10" s="1701">
        <v>2008</v>
      </c>
      <c r="E10" s="1702" t="s">
        <v>1576</v>
      </c>
      <c r="F10" s="1719"/>
      <c r="G10" s="1702" t="s">
        <v>1577</v>
      </c>
      <c r="H10" s="1702" t="s">
        <v>1578</v>
      </c>
      <c r="I10" s="1702" t="s">
        <v>168</v>
      </c>
      <c r="J10" s="1693" t="s">
        <v>1579</v>
      </c>
      <c r="K10" s="1693" t="s">
        <v>1580</v>
      </c>
      <c r="O10" s="1702" t="s">
        <v>1581</v>
      </c>
      <c r="V10" s="997" t="s">
        <v>168</v>
      </c>
      <c r="W10" s="1723"/>
      <c r="X10" s="1723" t="s">
        <v>1582</v>
      </c>
      <c r="Y10" s="1724" t="s">
        <v>1583</v>
      </c>
      <c r="Z10" s="1717"/>
      <c r="AP10" s="1713" t="s">
        <v>1582</v>
      </c>
      <c r="AQ10" s="1714" t="s">
        <v>1582</v>
      </c>
      <c r="AW10" s="1746" t="s">
        <v>1584</v>
      </c>
      <c r="AX10" s="1746" t="s">
        <v>1584</v>
      </c>
      <c r="AZ10" s="1746" t="s">
        <v>1585</v>
      </c>
      <c r="BB10" s="1746" t="s">
        <v>1586</v>
      </c>
      <c r="BC10" s="1746" t="s">
        <v>1502</v>
      </c>
      <c r="BE10" s="1746">
        <v>2008</v>
      </c>
      <c r="BF10" s="1746" t="s">
        <v>1587</v>
      </c>
      <c r="BH10" s="1694" t="s">
        <v>1588</v>
      </c>
      <c r="BJ10" s="1694" t="s">
        <v>1589</v>
      </c>
      <c r="BL10" s="1694" t="s">
        <v>1589</v>
      </c>
      <c r="BN10" s="1694" t="s">
        <v>1590</v>
      </c>
      <c r="BQ10" s="1907">
        <v>4213778</v>
      </c>
      <c r="BR10" s="1694" t="s">
        <v>198</v>
      </c>
      <c r="BS10" s="2055"/>
      <c r="BT10" s="1907">
        <v>64236876</v>
      </c>
      <c r="BU10" s="1694" t="s">
        <v>242</v>
      </c>
      <c r="BV10" s="1696"/>
      <c r="BW10" s="2316"/>
      <c r="BX10" s="2316"/>
    </row>
    <row customHeight="1" ht="11.25">
      <c r="A11" s="1700" t="s">
        <v>1591</v>
      </c>
      <c r="B11" s="1701">
        <v>2009</v>
      </c>
      <c r="E11" s="1702" t="s">
        <v>1592</v>
      </c>
      <c r="F11" s="1719"/>
      <c r="G11" s="1702" t="s">
        <v>1593</v>
      </c>
      <c r="H11" s="1702" t="s">
        <v>1594</v>
      </c>
      <c r="I11" s="1702" t="s">
        <v>169</v>
      </c>
      <c r="J11" s="1703" t="s">
        <v>1595</v>
      </c>
      <c r="K11" s="1725" t="s">
        <v>1596</v>
      </c>
      <c r="O11" s="1703" t="s">
        <v>1597</v>
      </c>
      <c r="V11" s="996" t="s">
        <v>169</v>
      </c>
      <c r="W11" s="901"/>
      <c r="X11" s="1710" t="s">
        <v>1567</v>
      </c>
      <c r="Y11" s="1701" t="s">
        <v>1598</v>
      </c>
      <c r="Z11" s="1717"/>
      <c r="AP11" s="1713" t="s">
        <v>210</v>
      </c>
      <c r="AQ11" s="1715" t="s">
        <v>210</v>
      </c>
      <c r="AW11" s="1746" t="s">
        <v>1599</v>
      </c>
      <c r="AX11" s="1746" t="s">
        <v>1599</v>
      </c>
      <c r="AZ11" s="1746" t="s">
        <v>1600</v>
      </c>
      <c r="BB11" s="1746" t="s">
        <v>1601</v>
      </c>
      <c r="BC11" s="1746" t="s">
        <v>1502</v>
      </c>
      <c r="BE11" s="1746">
        <v>2009</v>
      </c>
      <c r="BF11" s="1746" t="s">
        <v>1602</v>
      </c>
      <c r="BH11" s="1694" t="s">
        <v>1603</v>
      </c>
      <c r="BJ11" s="1694" t="s">
        <v>1572</v>
      </c>
      <c r="BL11" s="1694" t="s">
        <v>1572</v>
      </c>
      <c r="BN11" s="1694" t="s">
        <v>1604</v>
      </c>
      <c r="BQ11" s="1907">
        <v>4213780</v>
      </c>
      <c r="BR11" s="1694" t="s">
        <v>204</v>
      </c>
      <c r="BS11" s="2055"/>
      <c r="BW11" s="2316"/>
      <c r="BX11" s="2316"/>
    </row>
    <row customHeight="1" ht="11.25">
      <c r="A12" s="1700" t="s">
        <v>1605</v>
      </c>
      <c r="B12" s="1701">
        <v>2010</v>
      </c>
      <c r="E12" s="1702" t="s">
        <v>1606</v>
      </c>
      <c r="F12" s="1719"/>
      <c r="G12" s="1702" t="s">
        <v>1594</v>
      </c>
      <c r="I12" s="1702" t="s">
        <v>170</v>
      </c>
      <c r="J12" s="1703" t="s">
        <v>1607</v>
      </c>
      <c r="K12" s="1725" t="s">
        <v>1608</v>
      </c>
      <c r="O12" s="1703" t="s">
        <v>1396</v>
      </c>
      <c r="V12" s="996" t="s">
        <v>170</v>
      </c>
      <c r="W12" s="1715"/>
      <c r="X12" s="1710" t="s">
        <v>1609</v>
      </c>
      <c r="Y12" s="1701" t="s">
        <v>1402</v>
      </c>
      <c r="AP12" s="1713"/>
      <c r="AW12" s="1746" t="s">
        <v>169</v>
      </c>
      <c r="AX12" s="1746" t="s">
        <v>169</v>
      </c>
      <c r="AZ12" s="1746" t="s">
        <v>1610</v>
      </c>
      <c r="BB12" s="1746" t="s">
        <v>1611</v>
      </c>
      <c r="BC12" s="1746" t="s">
        <v>1502</v>
      </c>
      <c r="BE12" s="1746">
        <v>2010</v>
      </c>
      <c r="BF12" s="1746" t="s">
        <v>1612</v>
      </c>
      <c r="BH12" s="1694" t="s">
        <v>1613</v>
      </c>
      <c r="BJ12" s="1694" t="s">
        <v>1614</v>
      </c>
      <c r="BL12" s="1694" t="s">
        <v>1614</v>
      </c>
      <c r="BN12" s="1694" t="s">
        <v>1615</v>
      </c>
      <c r="BQ12" s="1907">
        <v>4213779</v>
      </c>
      <c r="BR12" s="1694" t="s">
        <v>1567</v>
      </c>
      <c r="BS12" s="2055"/>
      <c r="BT12" s="1696"/>
      <c r="BU12" s="1696"/>
      <c r="BV12" s="1696"/>
      <c r="BW12" s="2316"/>
      <c r="BX12" s="2316"/>
    </row>
    <row customHeight="1" ht="11.25">
      <c r="A13" s="1700" t="s">
        <v>1616</v>
      </c>
      <c r="B13" s="1701">
        <v>2011</v>
      </c>
      <c r="E13" s="1702" t="s">
        <v>1617</v>
      </c>
      <c r="F13" s="1719"/>
      <c r="I13" s="1702" t="s">
        <v>171</v>
      </c>
      <c r="K13" s="1725" t="s">
        <v>1566</v>
      </c>
      <c r="V13" s="996" t="s">
        <v>171</v>
      </c>
      <c r="W13" s="1715"/>
      <c r="X13" s="1715"/>
      <c r="Y13" s="1715"/>
      <c r="AW13" s="1746" t="s">
        <v>170</v>
      </c>
      <c r="AX13" s="1746" t="s">
        <v>170</v>
      </c>
      <c r="BB13" s="1746" t="s">
        <v>1618</v>
      </c>
      <c r="BC13" s="1746" t="s">
        <v>1619</v>
      </c>
      <c r="BE13" s="1746">
        <v>2011</v>
      </c>
      <c r="BF13" s="1746" t="s">
        <v>1620</v>
      </c>
      <c r="BH13" s="1694" t="s">
        <v>1621</v>
      </c>
      <c r="BJ13" s="1694" t="s">
        <v>1603</v>
      </c>
      <c r="BL13" s="1694" t="s">
        <v>1603</v>
      </c>
      <c r="BN13" s="1694" t="s">
        <v>1622</v>
      </c>
      <c r="BQ13" s="1907">
        <v>4213783</v>
      </c>
      <c r="BR13" s="1694" t="s">
        <v>1582</v>
      </c>
      <c r="BS13" s="2055"/>
      <c r="BT13" s="1696"/>
      <c r="BU13" s="1696"/>
      <c r="BV13" s="1696"/>
      <c r="BW13" s="2320"/>
      <c r="BX13" s="2316"/>
    </row>
    <row customHeight="1" ht="11.25">
      <c r="A14" s="1700" t="s">
        <v>1623</v>
      </c>
      <c r="B14" s="1701">
        <v>2012</v>
      </c>
      <c r="I14" s="1702" t="s">
        <v>172</v>
      </c>
      <c r="J14" s="1693" t="s">
        <v>1624</v>
      </c>
      <c r="N14" s="1693" t="s">
        <v>1625</v>
      </c>
      <c r="V14" s="1709">
        <v>13</v>
      </c>
      <c r="W14" s="1710"/>
      <c r="X14" s="1710" t="s">
        <v>1434</v>
      </c>
      <c r="Y14" s="1701" t="s">
        <v>1402</v>
      </c>
      <c r="AW14" s="1746" t="s">
        <v>171</v>
      </c>
      <c r="AX14" s="1746" t="s">
        <v>171</v>
      </c>
      <c r="AZ14" s="1693" t="s">
        <v>1626</v>
      </c>
      <c r="BB14" s="1746" t="s">
        <v>1627</v>
      </c>
      <c r="BC14" s="1746" t="s">
        <v>1619</v>
      </c>
      <c r="BE14" s="1746">
        <v>2012</v>
      </c>
      <c r="BH14" s="1694" t="s">
        <v>1542</v>
      </c>
      <c r="BJ14" s="1843" t="s">
        <v>1628</v>
      </c>
      <c r="BL14" s="1843" t="s">
        <v>1628</v>
      </c>
      <c r="BN14" s="1694" t="s">
        <v>1629</v>
      </c>
      <c r="BQ14" s="1907">
        <v>4213782</v>
      </c>
      <c r="BR14" s="1694" t="s">
        <v>210</v>
      </c>
      <c r="BS14" s="2055"/>
      <c r="BT14" s="1696"/>
      <c r="BU14" s="1696"/>
      <c r="BV14" s="1696"/>
      <c r="BW14" s="2320"/>
      <c r="BX14" s="2316"/>
    </row>
    <row customHeight="1" ht="19.5">
      <c r="A15" s="1700" t="s">
        <v>1630</v>
      </c>
      <c r="B15" s="1701">
        <v>2013</v>
      </c>
      <c r="E15" s="2324" t="s">
        <v>1631</v>
      </c>
      <c r="G15" s="1693" t="s">
        <v>1632</v>
      </c>
      <c r="H15" s="1693" t="s">
        <v>1633</v>
      </c>
      <c r="I15" s="1704" t="s">
        <v>173</v>
      </c>
      <c r="J15" s="1715" t="s">
        <v>601</v>
      </c>
      <c r="N15" s="1784" t="s">
        <v>1634</v>
      </c>
      <c r="X15" s="1713"/>
      <c r="AW15" s="1746" t="s">
        <v>172</v>
      </c>
      <c r="AX15" s="1746" t="s">
        <v>172</v>
      </c>
      <c r="AZ15" s="1746" t="s">
        <v>1553</v>
      </c>
      <c r="BB15" s="1746" t="s">
        <v>1635</v>
      </c>
      <c r="BC15" s="1746" t="s">
        <v>1619</v>
      </c>
      <c r="BE15" s="1746">
        <v>2013</v>
      </c>
      <c r="BH15" s="1694" t="s">
        <v>1558</v>
      </c>
      <c r="BJ15" s="1843" t="s">
        <v>1636</v>
      </c>
      <c r="BL15" s="1843" t="s">
        <v>1636</v>
      </c>
      <c r="BN15" s="1694" t="s">
        <v>1637</v>
      </c>
      <c r="BR15" s="1696"/>
      <c r="BS15" s="2057"/>
      <c r="BT15" s="1696"/>
      <c r="BU15" s="1696"/>
      <c r="BV15" s="1696"/>
      <c r="BW15" s="2320"/>
      <c r="BX15" s="2316"/>
    </row>
    <row customHeight="1" ht="21">
      <c r="A16" s="2496" t="s">
        <v>1638</v>
      </c>
      <c r="B16" s="1701">
        <v>2014</v>
      </c>
      <c r="E16" s="2325" t="s">
        <v>1639</v>
      </c>
      <c r="G16" s="1702" t="s">
        <v>1640</v>
      </c>
      <c r="H16" s="1702" t="s">
        <v>1641</v>
      </c>
      <c r="I16" s="1704" t="s">
        <v>1642</v>
      </c>
      <c r="J16" s="1715" t="s">
        <v>574</v>
      </c>
      <c r="N16" s="1784" t="s">
        <v>1643</v>
      </c>
      <c r="AW16" s="1746" t="s">
        <v>173</v>
      </c>
      <c r="AX16" s="1746" t="s">
        <v>173</v>
      </c>
      <c r="AZ16" s="1746" t="s">
        <v>1569</v>
      </c>
      <c r="BB16" s="1746" t="s">
        <v>1644</v>
      </c>
      <c r="BC16" s="1746" t="s">
        <v>1619</v>
      </c>
      <c r="BE16" s="1746">
        <v>2014</v>
      </c>
      <c r="BH16" s="1694" t="s">
        <v>1574</v>
      </c>
      <c r="BJ16" s="1843" t="s">
        <v>1645</v>
      </c>
      <c r="BL16" s="1843" t="s">
        <v>1645</v>
      </c>
      <c r="BN16" s="1694" t="s">
        <v>1646</v>
      </c>
      <c r="BR16" s="1696"/>
      <c r="BS16" s="2057"/>
      <c r="BT16" s="1696"/>
      <c r="BU16" s="1696"/>
      <c r="BV16" s="1696"/>
      <c r="BW16" s="2320"/>
      <c r="BX16" s="2316"/>
    </row>
    <row customHeight="1" ht="21">
      <c r="A17" s="1700" t="s">
        <v>1647</v>
      </c>
      <c r="B17" s="1701">
        <v>2015</v>
      </c>
      <c r="G17" s="1702" t="s">
        <v>1594</v>
      </c>
      <c r="H17" s="1702" t="s">
        <v>1594</v>
      </c>
      <c r="I17" s="1702" t="s">
        <v>1648</v>
      </c>
      <c r="N17" s="1784" t="s">
        <v>1649</v>
      </c>
      <c r="X17" s="1713"/>
      <c r="AW17" s="1746" t="s">
        <v>1642</v>
      </c>
      <c r="AX17" s="1746" t="s">
        <v>1642</v>
      </c>
      <c r="AZ17" s="1746" t="s">
        <v>1650</v>
      </c>
      <c r="BB17" s="1746" t="s">
        <v>1651</v>
      </c>
      <c r="BC17" s="1746" t="s">
        <v>1502</v>
      </c>
      <c r="BE17" s="1746">
        <v>2015</v>
      </c>
      <c r="BH17" s="1694" t="s">
        <v>1590</v>
      </c>
      <c r="BJ17" s="1843" t="s">
        <v>1652</v>
      </c>
      <c r="BL17" s="1843" t="s">
        <v>1652</v>
      </c>
      <c r="BN17" s="1694" t="s">
        <v>1653</v>
      </c>
      <c r="BR17" s="1693" t="s">
        <v>1444</v>
      </c>
      <c r="BS17" s="2054"/>
      <c r="BU17" s="1693" t="s">
        <v>1654</v>
      </c>
      <c r="BV17" s="1696"/>
      <c r="BW17" s="2316"/>
      <c r="BX17" s="2318" t="s">
        <v>1655</v>
      </c>
      <c r="CA17" s="1693" t="s">
        <v>1656</v>
      </c>
      <c r="CD17" s="1693" t="s">
        <v>1657</v>
      </c>
    </row>
    <row customHeight="1" ht="21">
      <c r="A18" s="1700" t="s">
        <v>1658</v>
      </c>
      <c r="B18" s="1701">
        <v>2016</v>
      </c>
      <c r="E18" s="2631" t="s">
        <v>1659</v>
      </c>
      <c r="I18" s="1702" t="s">
        <v>1660</v>
      </c>
      <c r="N18" s="1784" t="s">
        <v>1661</v>
      </c>
      <c r="X18" s="1713"/>
      <c r="AW18" s="1746" t="s">
        <v>1648</v>
      </c>
      <c r="AX18" s="1746" t="s">
        <v>1648</v>
      </c>
      <c r="BB18" s="1746" t="s">
        <v>1662</v>
      </c>
      <c r="BC18" s="1746" t="s">
        <v>1502</v>
      </c>
      <c r="BE18" s="1746">
        <v>2016</v>
      </c>
      <c r="BH18" s="1694" t="s">
        <v>1604</v>
      </c>
      <c r="BJ18" s="1843" t="s">
        <v>1663</v>
      </c>
      <c r="BL18" s="1843" t="s">
        <v>1663</v>
      </c>
      <c r="BN18" s="1694" t="s">
        <v>1664</v>
      </c>
      <c r="BQ18" s="2058" t="s">
        <v>1474</v>
      </c>
      <c r="BR18" s="1785" t="s">
        <v>1475</v>
      </c>
      <c r="BS18" s="900"/>
      <c r="BT18" s="2058" t="s">
        <v>1665</v>
      </c>
      <c r="BU18" s="1785" t="s">
        <v>1666</v>
      </c>
      <c r="BV18" s="1696"/>
      <c r="BW18" s="2323" t="s">
        <v>1667</v>
      </c>
      <c r="BX18" s="2317" t="s">
        <v>1668</v>
      </c>
      <c r="BZ18" s="2058" t="s">
        <v>1669</v>
      </c>
      <c r="CA18" s="1785" t="s">
        <v>1670</v>
      </c>
      <c r="CC18" s="2058" t="s">
        <v>1671</v>
      </c>
      <c r="CD18" s="1785" t="s">
        <v>1672</v>
      </c>
    </row>
    <row customHeight="1" ht="21">
      <c r="A19" s="2496" t="s">
        <v>1673</v>
      </c>
      <c r="B19" s="1701">
        <v>2017</v>
      </c>
      <c r="E19" s="1700" t="s">
        <v>185</v>
      </c>
      <c r="I19" s="1702" t="s">
        <v>1674</v>
      </c>
      <c r="N19" s="1784" t="s">
        <v>1675</v>
      </c>
      <c r="X19" s="1713"/>
      <c r="AW19" s="1746" t="s">
        <v>1660</v>
      </c>
      <c r="AX19" s="1746" t="s">
        <v>1660</v>
      </c>
      <c r="AZ19" s="1693" t="s">
        <v>1676</v>
      </c>
      <c r="BB19" s="1746" t="s">
        <v>1677</v>
      </c>
      <c r="BC19" s="1746" t="s">
        <v>1502</v>
      </c>
      <c r="BE19" s="1746">
        <v>2017</v>
      </c>
      <c r="BH19" s="1694" t="s">
        <v>1678</v>
      </c>
      <c r="BJ19" s="1843" t="s">
        <v>1679</v>
      </c>
      <c r="BL19" s="1843" t="s">
        <v>1679</v>
      </c>
      <c r="BQ19" s="1907">
        <v>4190064</v>
      </c>
      <c r="BR19" s="1694" t="s">
        <v>1680</v>
      </c>
      <c r="BS19" s="2055"/>
      <c r="BT19" s="1907">
        <v>4189671</v>
      </c>
      <c r="BU19" s="1694" t="s">
        <v>1681</v>
      </c>
      <c r="BV19" s="1696"/>
      <c r="BW19" s="2321">
        <v>4189706</v>
      </c>
      <c r="BX19" s="2319" t="s">
        <v>1682</v>
      </c>
      <c r="BZ19" s="1907">
        <v>4189714</v>
      </c>
      <c r="CA19" s="1694" t="s">
        <v>1683</v>
      </c>
      <c r="CC19" s="1907">
        <v>4189708</v>
      </c>
      <c r="CD19" s="1694" t="s">
        <v>1684</v>
      </c>
    </row>
    <row customHeight="1" ht="21">
      <c r="A20" s="1700" t="s">
        <v>1685</v>
      </c>
      <c r="B20" s="1701">
        <v>2018</v>
      </c>
      <c r="E20" s="1700" t="s">
        <v>1434</v>
      </c>
      <c r="I20" s="1702" t="s">
        <v>1686</v>
      </c>
      <c r="N20" s="1784" t="s">
        <v>1687</v>
      </c>
      <c r="AW20" s="1746" t="s">
        <v>1674</v>
      </c>
      <c r="AX20" s="1746" t="s">
        <v>1674</v>
      </c>
      <c r="AZ20" s="1746" t="s">
        <v>1688</v>
      </c>
      <c r="BB20" s="1746" t="s">
        <v>1689</v>
      </c>
      <c r="BC20" s="1746" t="s">
        <v>1619</v>
      </c>
      <c r="BE20" s="1746">
        <v>2018</v>
      </c>
      <c r="BH20" s="1694" t="s">
        <v>1615</v>
      </c>
      <c r="BJ20" s="1694" t="s">
        <v>1542</v>
      </c>
      <c r="BL20" s="1694" t="s">
        <v>1542</v>
      </c>
      <c r="BQ20" s="1907">
        <v>4190065</v>
      </c>
      <c r="BR20" s="1694" t="s">
        <v>1690</v>
      </c>
      <c r="BS20" s="2055"/>
      <c r="BT20" s="1907">
        <v>4189672</v>
      </c>
      <c r="BU20" s="1694" t="s">
        <v>1691</v>
      </c>
      <c r="BV20" s="1696"/>
      <c r="BW20" s="2321">
        <v>4189705</v>
      </c>
      <c r="BX20" s="2319" t="s">
        <v>1692</v>
      </c>
      <c r="BZ20" s="1907">
        <v>4189713</v>
      </c>
      <c r="CA20" s="1694" t="s">
        <v>1692</v>
      </c>
      <c r="CC20" s="1907">
        <v>4189709</v>
      </c>
      <c r="CD20" s="1694" t="s">
        <v>1693</v>
      </c>
    </row>
    <row customHeight="1" ht="21">
      <c r="A21" s="1700" t="s">
        <v>1694</v>
      </c>
      <c r="B21" s="1701">
        <v>2019</v>
      </c>
      <c r="I21" s="1702" t="s">
        <v>1695</v>
      </c>
      <c r="N21" s="1784" t="s">
        <v>1696</v>
      </c>
      <c r="AW21" s="1746" t="s">
        <v>1686</v>
      </c>
      <c r="AX21" s="1746" t="s">
        <v>1686</v>
      </c>
      <c r="AZ21" s="1746" t="s">
        <v>1697</v>
      </c>
      <c r="BB21" s="1746" t="s">
        <v>1698</v>
      </c>
      <c r="BC21" s="1746" t="s">
        <v>1502</v>
      </c>
      <c r="BE21" s="1746">
        <v>2019</v>
      </c>
      <c r="BH21" s="1694" t="s">
        <v>1622</v>
      </c>
      <c r="BJ21" s="1694" t="s">
        <v>1558</v>
      </c>
      <c r="BL21" s="1694" t="s">
        <v>1558</v>
      </c>
      <c r="BQ21" s="1907">
        <v>4190066</v>
      </c>
      <c r="BR21" s="1694" t="s">
        <v>1699</v>
      </c>
      <c r="BS21" s="2055"/>
      <c r="BT21" s="1907">
        <v>4189673</v>
      </c>
      <c r="BU21" s="1694" t="s">
        <v>1700</v>
      </c>
      <c r="BV21" s="1696"/>
      <c r="BW21" s="2321">
        <v>4189707</v>
      </c>
      <c r="BX21" s="2319" t="s">
        <v>1701</v>
      </c>
      <c r="BZ21" s="1907">
        <v>4189712</v>
      </c>
      <c r="CA21" s="1694" t="s">
        <v>1702</v>
      </c>
      <c r="CC21" s="1907">
        <v>4189710</v>
      </c>
      <c r="CD21" s="1694" t="s">
        <v>1703</v>
      </c>
    </row>
    <row customHeight="1" ht="21">
      <c r="A22" s="1700" t="s">
        <v>1704</v>
      </c>
      <c r="B22" s="1701">
        <v>2020</v>
      </c>
      <c r="N22" s="1784" t="s">
        <v>1705</v>
      </c>
      <c r="AW22" s="1746" t="s">
        <v>1695</v>
      </c>
      <c r="AX22" s="1746" t="s">
        <v>1695</v>
      </c>
      <c r="AZ22" s="1746" t="s">
        <v>1706</v>
      </c>
      <c r="BB22" s="1746" t="s">
        <v>1707</v>
      </c>
      <c r="BC22" s="1746" t="s">
        <v>1502</v>
      </c>
      <c r="BE22" s="1746">
        <v>2020</v>
      </c>
      <c r="BH22" s="1694" t="s">
        <v>1629</v>
      </c>
      <c r="BJ22" s="1694" t="s">
        <v>1574</v>
      </c>
      <c r="BL22" s="1694" t="s">
        <v>1574</v>
      </c>
      <c r="BQ22" s="1907">
        <v>4190067</v>
      </c>
      <c r="BR22" s="1694" t="s">
        <v>1708</v>
      </c>
      <c r="BS22" s="2055"/>
      <c r="BT22" s="1907">
        <v>4189674</v>
      </c>
      <c r="BU22" s="1694" t="s">
        <v>1709</v>
      </c>
      <c r="BV22" s="1696"/>
      <c r="BW22" s="1696"/>
      <c r="CC22" s="1907">
        <v>4189711</v>
      </c>
      <c r="CD22" s="1694" t="s">
        <v>311</v>
      </c>
    </row>
    <row customHeight="1" ht="21">
      <c r="A23" s="1700" t="s">
        <v>1710</v>
      </c>
      <c r="B23" s="1701">
        <v>2021</v>
      </c>
      <c r="AW23" s="1746" t="s">
        <v>1711</v>
      </c>
      <c r="AX23" s="1746" t="s">
        <v>1711</v>
      </c>
      <c r="AZ23" s="1746" t="s">
        <v>1712</v>
      </c>
      <c r="BB23" s="1746" t="s">
        <v>1713</v>
      </c>
      <c r="BC23" s="1746" t="s">
        <v>1413</v>
      </c>
      <c r="BE23" s="1746">
        <v>2021</v>
      </c>
      <c r="BH23" s="1694" t="s">
        <v>1637</v>
      </c>
      <c r="BJ23" s="1694" t="s">
        <v>1590</v>
      </c>
      <c r="BL23" s="1694" t="s">
        <v>1590</v>
      </c>
      <c r="BQ23" s="1907">
        <v>4190068</v>
      </c>
      <c r="BR23" s="1694" t="s">
        <v>1714</v>
      </c>
      <c r="BS23" s="2055"/>
      <c r="BT23" s="1907">
        <v>4189675</v>
      </c>
      <c r="BU23" s="1694" t="s">
        <v>1715</v>
      </c>
      <c r="BV23" s="1696"/>
      <c r="BW23" s="1696"/>
      <c r="CC23" s="1907">
        <v>5110778</v>
      </c>
      <c r="CD23" s="1694" t="s">
        <v>1716</v>
      </c>
    </row>
    <row customHeight="1" ht="21">
      <c r="A24" s="1700" t="s">
        <v>1717</v>
      </c>
      <c r="B24" s="1701">
        <v>2022</v>
      </c>
      <c r="AW24" s="1746" t="s">
        <v>1718</v>
      </c>
      <c r="AX24" s="1746" t="s">
        <v>1718</v>
      </c>
      <c r="AZ24" s="1746" t="s">
        <v>1719</v>
      </c>
      <c r="BB24" s="1746" t="s">
        <v>1720</v>
      </c>
      <c r="BC24" s="1746" t="s">
        <v>1721</v>
      </c>
      <c r="BE24" s="1746">
        <v>2022</v>
      </c>
      <c r="BH24" s="1694" t="s">
        <v>1646</v>
      </c>
      <c r="BJ24" s="1694" t="s">
        <v>1604</v>
      </c>
      <c r="BL24" s="1694" t="s">
        <v>1604</v>
      </c>
      <c r="BQ24" s="1907">
        <v>4190069</v>
      </c>
      <c r="BR24" s="1694" t="s">
        <v>1722</v>
      </c>
      <c r="BS24" s="2055"/>
      <c r="BT24" s="1907">
        <v>4189676</v>
      </c>
      <c r="BU24" s="1694" t="s">
        <v>1723</v>
      </c>
      <c r="BV24" s="1696"/>
      <c r="BW24" s="1696"/>
      <c r="CC24" s="1907">
        <v>25575374</v>
      </c>
      <c r="CD24" s="1694" t="s">
        <v>1724</v>
      </c>
    </row>
    <row customHeight="1" ht="11.25">
      <c r="A25" s="1700" t="s">
        <v>1725</v>
      </c>
      <c r="B25" s="1701">
        <v>2023</v>
      </c>
      <c r="AW25" s="1746" t="s">
        <v>1726</v>
      </c>
      <c r="AX25" s="1746" t="s">
        <v>1726</v>
      </c>
      <c r="AZ25" s="1746" t="s">
        <v>1727</v>
      </c>
      <c r="BB25" s="1746" t="s">
        <v>1728</v>
      </c>
      <c r="BC25" s="1746" t="s">
        <v>1721</v>
      </c>
      <c r="BE25" s="1746">
        <v>2023</v>
      </c>
      <c r="BH25" s="1694" t="s">
        <v>1653</v>
      </c>
      <c r="BJ25" s="1694" t="s">
        <v>1678</v>
      </c>
      <c r="BL25" s="1694" t="s">
        <v>1678</v>
      </c>
      <c r="BQ25" s="1907">
        <v>4190070</v>
      </c>
      <c r="BR25" s="1694" t="s">
        <v>1729</v>
      </c>
      <c r="BS25" s="2055"/>
      <c r="BT25" s="1907">
        <v>4189677</v>
      </c>
      <c r="BU25" s="1694" t="s">
        <v>1730</v>
      </c>
      <c r="BV25" s="1696"/>
      <c r="BW25" s="1696"/>
    </row>
    <row customHeight="1" ht="11.25">
      <c r="A26" s="1700" t="s">
        <v>1731</v>
      </c>
      <c r="B26" s="1701">
        <v>2024</v>
      </c>
      <c r="J26" s="2357" t="s">
        <v>1732</v>
      </c>
      <c r="AX26" s="1746" t="s">
        <v>1733</v>
      </c>
      <c r="AZ26" s="1746" t="s">
        <v>1597</v>
      </c>
      <c r="BB26" s="1746" t="s">
        <v>1734</v>
      </c>
      <c r="BC26" s="1746" t="s">
        <v>1721</v>
      </c>
      <c r="BE26" s="1746">
        <v>2024</v>
      </c>
      <c r="BH26" s="1694" t="s">
        <v>1664</v>
      </c>
      <c r="BJ26" s="1694" t="s">
        <v>1615</v>
      </c>
      <c r="BL26" s="1694" t="s">
        <v>1615</v>
      </c>
      <c r="BQ26" s="1907">
        <v>4190071</v>
      </c>
      <c r="BR26" s="1694" t="s">
        <v>1735</v>
      </c>
      <c r="BS26" s="2055"/>
      <c r="BV26" s="1696"/>
      <c r="BW26" s="1696"/>
    </row>
    <row customHeight="1" ht="11.25">
      <c r="A27" s="1700" t="s">
        <v>1736</v>
      </c>
      <c r="B27" s="1701">
        <v>2025</v>
      </c>
      <c r="J27" s="802" t="s">
        <v>103</v>
      </c>
      <c r="AX27" s="1746" t="s">
        <v>1737</v>
      </c>
      <c r="BB27" s="1746" t="s">
        <v>1738</v>
      </c>
      <c r="BC27" s="1746" t="s">
        <v>1721</v>
      </c>
      <c r="BE27" s="1746">
        <v>2025</v>
      </c>
      <c r="BH27" s="1696" t="s">
        <v>22</v>
      </c>
      <c r="BJ27" s="1694" t="s">
        <v>1622</v>
      </c>
      <c r="BL27" s="1694" t="s">
        <v>1622</v>
      </c>
      <c r="BN27" s="1696" t="s">
        <v>22</v>
      </c>
      <c r="BQ27" s="1907">
        <v>4190072</v>
      </c>
      <c r="BR27" s="1694" t="s">
        <v>1739</v>
      </c>
      <c r="BS27" s="2055"/>
      <c r="BV27" s="1696"/>
      <c r="BW27" s="1696"/>
    </row>
    <row customHeight="1" ht="11.25">
      <c r="A28" s="1700" t="s">
        <v>1740</v>
      </c>
      <c r="D28" s="1727"/>
      <c r="E28" s="1728"/>
      <c r="F28" s="1728"/>
      <c r="H28" s="1729" t="s">
        <v>1741</v>
      </c>
      <c r="AX28" s="1746" t="s">
        <v>1742</v>
      </c>
      <c r="AZ28" s="1693" t="s">
        <v>1743</v>
      </c>
      <c r="BB28" s="1746" t="s">
        <v>1744</v>
      </c>
      <c r="BC28" s="1746" t="s">
        <v>1745</v>
      </c>
      <c r="BE28" s="1746">
        <v>2026</v>
      </c>
      <c r="BH28" s="1696" t="s">
        <v>22</v>
      </c>
      <c r="BJ28" s="1694" t="s">
        <v>1629</v>
      </c>
      <c r="BL28" s="1694" t="s">
        <v>1629</v>
      </c>
      <c r="BN28" s="1696" t="s">
        <v>22</v>
      </c>
      <c r="BQ28" s="1907">
        <v>4190073</v>
      </c>
      <c r="BR28" s="1694" t="s">
        <v>1746</v>
      </c>
      <c r="BS28" s="2055"/>
      <c r="BV28" s="1696"/>
      <c r="BW28" s="1696"/>
    </row>
    <row customHeight="1" ht="11.25">
      <c r="A29" s="1700" t="s">
        <v>1747</v>
      </c>
      <c r="D29" s="1730" t="s">
        <v>1748</v>
      </c>
      <c r="E29" s="1731" t="str">
        <f>IF(TEMPLATE_GROUP="","",INDEX(StartDateList,MATCH(TEMPLATE_GROUP,CodeTemplateList,0),1))</f>
        <v>01.04.2024</v>
      </c>
      <c r="F29" s="1731" t="str">
        <f>IF(TEMPLATE_GROUP="","",INDEX(EndDateList,MATCH(TEMPLATE_GROUP,CodeTemplateList,0),1))</f>
        <v>30.06.2024</v>
      </c>
      <c r="H29" s="1732" t="s">
        <v>1749</v>
      </c>
      <c r="AX29" s="1746" t="s">
        <v>1750</v>
      </c>
      <c r="AZ29" s="1746" t="s">
        <v>1397</v>
      </c>
      <c r="BB29" s="1746" t="s">
        <v>1597</v>
      </c>
      <c r="BC29" s="1717"/>
      <c r="BE29" s="1746">
        <v>2027</v>
      </c>
      <c r="BJ29" s="1694" t="s">
        <v>1637</v>
      </c>
      <c r="BL29" s="1694" t="s">
        <v>1637</v>
      </c>
    </row>
    <row customHeight="1" ht="11.25">
      <c r="A30" s="1700" t="s">
        <v>1751</v>
      </c>
      <c r="D30" s="1733"/>
      <c r="E30" s="1734"/>
      <c r="F30" s="1734"/>
      <c r="AX30" s="1746" t="s">
        <v>1752</v>
      </c>
      <c r="AZ30" s="1746" t="s">
        <v>1423</v>
      </c>
      <c r="BE30" s="1746">
        <v>2028</v>
      </c>
      <c r="BJ30" s="1694" t="s">
        <v>1753</v>
      </c>
      <c r="BL30" s="1694" t="s">
        <v>1753</v>
      </c>
    </row>
    <row customHeight="1" ht="12.75">
      <c r="A31" s="1700" t="s">
        <v>1754</v>
      </c>
      <c r="D31" s="1727"/>
      <c r="E31" s="1728"/>
      <c r="F31" s="1728"/>
      <c r="H31" s="1735"/>
      <c r="AX31" s="1746" t="s">
        <v>1755</v>
      </c>
      <c r="AZ31" s="1746" t="s">
        <v>1756</v>
      </c>
      <c r="BE31" s="1746">
        <v>2029</v>
      </c>
      <c r="BJ31" s="1694" t="s">
        <v>1757</v>
      </c>
      <c r="BL31" s="1694" t="s">
        <v>1757</v>
      </c>
    </row>
    <row customHeight="1" ht="11.25">
      <c r="A32" s="1700" t="s">
        <v>1758</v>
      </c>
      <c r="D32" s="1730" t="s">
        <v>1759</v>
      </c>
      <c r="E32" s="1731" t="str">
        <f>IF(TEMPLATE_GROUP="","",INDEX(StartDateList,MATCH(TEMPLATE_GROUP,CodeTemplateList,0),1))</f>
        <v>01.04.2024</v>
      </c>
      <c r="F32" s="1731" t="str">
        <f>IF(TEMPLATE_GROUP="","",INDEX(EndDateList,MATCH(TEMPLATE_GROUP,CodeTemplateList,0),1))</f>
        <v>30.06.2024</v>
      </c>
      <c r="H32" s="1736" t="s">
        <v>1760</v>
      </c>
      <c r="O32" s="1700" t="s">
        <v>1395</v>
      </c>
      <c r="AX32" s="1746" t="s">
        <v>1761</v>
      </c>
      <c r="AZ32" s="1746" t="s">
        <v>1490</v>
      </c>
      <c r="BE32" s="1746">
        <v>2030</v>
      </c>
      <c r="BJ32" s="1694" t="s">
        <v>1646</v>
      </c>
      <c r="BL32" s="1694" t="s">
        <v>1646</v>
      </c>
    </row>
    <row customHeight="1" ht="11.25">
      <c r="A33" s="1700" t="s">
        <v>1762</v>
      </c>
      <c r="O33" s="1700" t="s">
        <v>1420</v>
      </c>
      <c r="AX33" s="1746" t="s">
        <v>1763</v>
      </c>
      <c r="AZ33" s="1746" t="s">
        <v>1396</v>
      </c>
      <c r="BE33" s="1746">
        <v>2031</v>
      </c>
      <c r="BJ33" s="1694" t="s">
        <v>1653</v>
      </c>
      <c r="BL33" s="1694" t="s">
        <v>1653</v>
      </c>
    </row>
    <row customHeight="1" ht="11.25">
      <c r="A34" s="1700" t="s">
        <v>1764</v>
      </c>
      <c r="O34" s="1700" t="s">
        <v>1455</v>
      </c>
      <c r="AX34" s="1746" t="s">
        <v>1765</v>
      </c>
      <c r="BE34" s="1746">
        <v>2032</v>
      </c>
      <c r="BJ34" s="1694" t="s">
        <v>1664</v>
      </c>
      <c r="BL34" s="1694" t="s">
        <v>1664</v>
      </c>
    </row>
    <row customHeight="1" ht="11.25">
      <c r="A35" s="1700" t="s">
        <v>1766</v>
      </c>
      <c r="O35" s="1700" t="s">
        <v>1488</v>
      </c>
      <c r="AX35" s="1746" t="s">
        <v>1767</v>
      </c>
      <c r="AZ35" s="1693" t="s">
        <v>1768</v>
      </c>
      <c r="BE35" s="1746">
        <v>2033</v>
      </c>
      <c r="BL35" s="1694" t="s">
        <v>1769</v>
      </c>
    </row>
    <row customHeight="1" ht="11.25">
      <c r="A36" s="2496" t="s">
        <v>1770</v>
      </c>
      <c r="D36" s="1737" t="s">
        <v>1771</v>
      </c>
      <c r="E36" s="1738" t="s">
        <v>829</v>
      </c>
      <c r="F36" s="1739" t="str">
        <f>INDEX(E37:E41,MATCH(TEMPLATE_SPHERE,F37:F41,0))</f>
        <v>теплоснабжения</v>
      </c>
      <c r="G36" s="1739" t="str">
        <f>INDEX(G37:G41,MATCH(TEMPLATE_SPHERE,F37:F41,0))</f>
        <v>теплоснабжение</v>
      </c>
      <c r="O36" s="1700" t="s">
        <v>1513</v>
      </c>
      <c r="AX36" s="1746" t="s">
        <v>1772</v>
      </c>
      <c r="AZ36" s="1746" t="s">
        <v>1396</v>
      </c>
      <c r="BE36" s="1746">
        <v>2034</v>
      </c>
      <c r="BL36" s="1694" t="s">
        <v>1773</v>
      </c>
    </row>
    <row customHeight="1" ht="11.25">
      <c r="A37" s="1700" t="s">
        <v>1774</v>
      </c>
      <c r="E37" s="1033" t="s">
        <v>1775</v>
      </c>
      <c r="F37" s="1740" t="s">
        <v>829</v>
      </c>
      <c r="G37" s="1033" t="s">
        <v>1776</v>
      </c>
      <c r="O37" s="1700" t="s">
        <v>1532</v>
      </c>
      <c r="AX37" s="1746" t="s">
        <v>1777</v>
      </c>
      <c r="AZ37" s="1746" t="s">
        <v>1422</v>
      </c>
      <c r="BE37" s="1746">
        <v>2035</v>
      </c>
    </row>
    <row customHeight="1" ht="11.25">
      <c r="A38" s="1700" t="s">
        <v>1778</v>
      </c>
      <c r="E38" s="1033" t="s">
        <v>1779</v>
      </c>
      <c r="F38" s="1741" t="s">
        <v>875</v>
      </c>
      <c r="G38" s="1033" t="s">
        <v>1780</v>
      </c>
      <c r="O38" s="1700" t="s">
        <v>1549</v>
      </c>
      <c r="AX38" s="1746" t="s">
        <v>1781</v>
      </c>
      <c r="AZ38" s="1746" t="s">
        <v>1456</v>
      </c>
      <c r="BE38" s="1746">
        <v>2036</v>
      </c>
      <c r="BH38" s="1693" t="s">
        <v>1782</v>
      </c>
      <c r="BJ38" s="1693" t="s">
        <v>1783</v>
      </c>
      <c r="BL38" s="1693" t="s">
        <v>1784</v>
      </c>
      <c r="BN38" s="1693" t="s">
        <v>1785</v>
      </c>
    </row>
    <row customHeight="1" ht="11.25">
      <c r="A39" s="1700" t="s">
        <v>1786</v>
      </c>
      <c r="E39" s="1033" t="s">
        <v>1787</v>
      </c>
      <c r="F39" s="1741" t="s">
        <v>928</v>
      </c>
      <c r="G39" s="1033" t="s">
        <v>1788</v>
      </c>
      <c r="O39" s="1700" t="s">
        <v>1565</v>
      </c>
      <c r="AX39" s="1746" t="s">
        <v>1789</v>
      </c>
      <c r="AZ39" s="1746" t="s">
        <v>1489</v>
      </c>
      <c r="BE39" s="1746">
        <v>2037</v>
      </c>
      <c r="BH39" s="1694" t="s">
        <v>1790</v>
      </c>
      <c r="BJ39" s="1843" t="s">
        <v>1790</v>
      </c>
      <c r="BL39" s="1843" t="s">
        <v>1790</v>
      </c>
      <c r="BN39" s="1694" t="s">
        <v>1791</v>
      </c>
    </row>
    <row customHeight="1" ht="11.25">
      <c r="A40" s="1700" t="s">
        <v>1792</v>
      </c>
      <c r="E40" s="1033" t="s">
        <v>1793</v>
      </c>
      <c r="F40" s="1741" t="s">
        <v>915</v>
      </c>
      <c r="G40" s="1033" t="s">
        <v>1794</v>
      </c>
      <c r="O40" s="1700" t="s">
        <v>1581</v>
      </c>
      <c r="AX40" s="1746" t="s">
        <v>1795</v>
      </c>
      <c r="BE40" s="1746">
        <v>2038</v>
      </c>
      <c r="BH40" s="1694" t="s">
        <v>1796</v>
      </c>
      <c r="BJ40" s="1843" t="s">
        <v>1208</v>
      </c>
      <c r="BL40" s="1843" t="s">
        <v>1208</v>
      </c>
      <c r="BN40" s="1694" t="s">
        <v>1242</v>
      </c>
    </row>
    <row customHeight="1" ht="11.25">
      <c r="A41" s="1700" t="s">
        <v>1797</v>
      </c>
      <c r="E41" s="1033" t="s">
        <v>1798</v>
      </c>
      <c r="F41" s="1741" t="s">
        <v>1799</v>
      </c>
      <c r="G41" s="1033" t="s">
        <v>1798</v>
      </c>
      <c r="O41" s="1700" t="s">
        <v>1597</v>
      </c>
      <c r="AX41" s="1746" t="s">
        <v>1800</v>
      </c>
      <c r="AZ41" s="1693" t="s">
        <v>1801</v>
      </c>
      <c r="BE41" s="1746">
        <v>2039</v>
      </c>
      <c r="BH41" s="1694" t="s">
        <v>1802</v>
      </c>
      <c r="BJ41" s="1843" t="s">
        <v>1204</v>
      </c>
      <c r="BL41" s="1843" t="s">
        <v>1204</v>
      </c>
      <c r="BN41" s="1694" t="s">
        <v>1229</v>
      </c>
    </row>
    <row customHeight="1" ht="11.25">
      <c r="A42" s="1700" t="s">
        <v>1803</v>
      </c>
      <c r="AX42" s="1746" t="s">
        <v>1804</v>
      </c>
      <c r="AZ42" s="1746" t="s">
        <v>1395</v>
      </c>
      <c r="BE42" s="1746">
        <v>2040</v>
      </c>
      <c r="BH42" s="1694" t="s">
        <v>1226</v>
      </c>
      <c r="BJ42" s="1843" t="s">
        <v>1206</v>
      </c>
      <c r="BL42" s="1843" t="s">
        <v>1206</v>
      </c>
      <c r="BN42" s="1694" t="s">
        <v>1805</v>
      </c>
    </row>
    <row customHeight="1" ht="11.25">
      <c r="A43" s="1700" t="s">
        <v>1806</v>
      </c>
      <c r="AX43" s="1746" t="s">
        <v>1807</v>
      </c>
      <c r="AZ43" s="1746" t="s">
        <v>1420</v>
      </c>
      <c r="BE43" s="1746">
        <v>2041</v>
      </c>
      <c r="BH43" s="1694" t="s">
        <v>1808</v>
      </c>
      <c r="BJ43" s="1843" t="s">
        <v>1802</v>
      </c>
      <c r="BL43" s="1843" t="s">
        <v>1802</v>
      </c>
      <c r="BN43" s="1694" t="s">
        <v>1809</v>
      </c>
    </row>
    <row customHeight="1" ht="11.25">
      <c r="A44" s="1700" t="s">
        <v>1810</v>
      </c>
      <c r="G44" s="1720">
        <f>YEAR(TODAY())</f>
        <v>2024</v>
      </c>
      <c r="I44" s="1425" t="s">
        <v>1811</v>
      </c>
      <c r="J44" s="1715" t="s">
        <v>1812</v>
      </c>
      <c r="K44" s="1715" t="s">
        <v>1813</v>
      </c>
      <c r="AX44" s="1746" t="s">
        <v>1814</v>
      </c>
      <c r="AZ44" s="1746" t="s">
        <v>1455</v>
      </c>
      <c r="BE44" s="1746">
        <v>2042</v>
      </c>
      <c r="BH44" s="1694" t="s">
        <v>1815</v>
      </c>
      <c r="BJ44" s="1843" t="s">
        <v>1226</v>
      </c>
      <c r="BL44" s="1843" t="s">
        <v>1226</v>
      </c>
      <c r="BN44" s="1694" t="s">
        <v>1816</v>
      </c>
    </row>
    <row customHeight="1" ht="11.25">
      <c r="A45" s="1700" t="s">
        <v>1817</v>
      </c>
      <c r="D45" s="1737" t="s">
        <v>1818</v>
      </c>
      <c r="E45" s="1738" t="s">
        <v>1819</v>
      </c>
      <c r="F45" s="1423" t="s">
        <v>1820</v>
      </c>
      <c r="G45" s="1422" t="s">
        <v>1821</v>
      </c>
      <c r="H45" s="1425" t="s">
        <v>1822</v>
      </c>
      <c r="I45" s="2367">
        <f>INDEX(PeriodIsEmptyList,MATCH(TEMPLATE_GROUP,CodeTemplateList,0),1)</f>
        <v>0</v>
      </c>
      <c r="J45" s="23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23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746" t="s">
        <v>1823</v>
      </c>
      <c r="AZ45" s="1746" t="s">
        <v>1488</v>
      </c>
      <c r="BE45" s="1746">
        <v>2043</v>
      </c>
      <c r="BH45" s="1694" t="s">
        <v>1824</v>
      </c>
      <c r="BJ45" s="1843" t="s">
        <v>1220</v>
      </c>
      <c r="BL45" s="1843" t="s">
        <v>1220</v>
      </c>
      <c r="BN45" s="1694" t="s">
        <v>1825</v>
      </c>
    </row>
    <row customHeight="1" ht="11.25">
      <c r="A46" s="1700" t="s">
        <v>1826</v>
      </c>
      <c r="E46" s="1033" t="s">
        <v>27</v>
      </c>
      <c r="F46" s="1740" t="s">
        <v>1827</v>
      </c>
      <c r="G46" s="1742" t="str">
        <f>_xlfn.IFERROR(IF(TITLE_DATE_FIL="","01.01."&amp;CURRENT_YEAR,"01.01."&amp;YEAR(TITLE_DATE_FIL)),"01.01."&amp;CURRENT_YEAR)</f>
        <v>01.01.2024</v>
      </c>
      <c r="H46" s="1742" t="str">
        <f>_xlfn.IFERROR(IF(TITLE_DATE_FIL="","31.12."&amp;CURRENT_YEAR,"31.12."&amp;YEAR(TITLE_DATE_FIL)),"31.12."&amp;CURRENT_YEAR)</f>
        <v>31.12.2024</v>
      </c>
      <c r="I46" s="2368">
        <f>IF(TITLE_DATE_FIL="",TRUE,FALSE)</f>
        <v>1</v>
      </c>
      <c r="J46" s="2371" t="str">
        <f>"Общая информация о регулируемой организации ("&amp;TEMPLATE_SPHERE_RUS&amp;")"</f>
        <v>Общая информация о регулируемой организации (теплоснабжения)</v>
      </c>
      <c r="K46" s="2372"/>
      <c r="AX46" s="1746" t="s">
        <v>1828</v>
      </c>
      <c r="AZ46" s="1746" t="s">
        <v>1513</v>
      </c>
      <c r="BE46" s="1746">
        <v>2044</v>
      </c>
      <c r="BH46" s="1694" t="s">
        <v>1229</v>
      </c>
      <c r="BJ46" s="1843" t="s">
        <v>1210</v>
      </c>
      <c r="BL46" s="1843" t="s">
        <v>1210</v>
      </c>
      <c r="BN46" s="1694" t="s">
        <v>1829</v>
      </c>
    </row>
    <row customHeight="1" ht="11.25">
      <c r="A47" s="1700" t="s">
        <v>1830</v>
      </c>
      <c r="E47" s="1033" t="s">
        <v>33</v>
      </c>
      <c r="F47" s="1741" t="s">
        <v>1819</v>
      </c>
      <c r="G47" s="1742" t="str">
        <f>_xlfn.IFERROR(IF(f_year="","01.01."&amp;CURRENT_YEAR,IF(LEN(f_quart)=0,"01.01."&amp;f_year,IF(f_quart="I квартал","01.01."&amp;f_year,IF(f_quart="II квартал","01.04."&amp;f_year,(IF(f_quart="III квартал","01.07."&amp;f_year,"01.10."&amp;f_year)))))),"01.01."&amp;CURRENT_YEAR)</f>
        <v>01.04.2024</v>
      </c>
      <c r="H47" s="1742" t="str">
        <f>_xlfn.IFERROR(IF(f_year="","31.12."&amp;CURRENT_YEAR,IF(LEN(f_quart)=0,"31.12."&amp;f_year,IF(f_quart="I квартал","31.03."&amp;f_year,IF(f_quart="II квартал","30.06."&amp;f_year,(IF(f_quart="III квартал","30.09."&amp;f_year,"31.12."&amp;f_year)))))),"31.12."&amp;CURRENT_YEAR)</f>
        <v>30.06.2024</v>
      </c>
      <c r="I47" s="2369">
        <f>IF(OR(f_year="",f_quart=""),TRUE,FALSE)</f>
        <v>0</v>
      </c>
      <c r="J47" s="23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372"/>
      <c r="AX47" s="1746" t="s">
        <v>1831</v>
      </c>
      <c r="AZ47" s="1746" t="s">
        <v>1532</v>
      </c>
      <c r="BE47" s="1746">
        <v>2045</v>
      </c>
      <c r="BH47" s="1694" t="s">
        <v>1805</v>
      </c>
      <c r="BJ47" s="1843" t="s">
        <v>1212</v>
      </c>
      <c r="BL47" s="1843" t="s">
        <v>1212</v>
      </c>
      <c r="BN47" s="1694" t="s">
        <v>1832</v>
      </c>
    </row>
    <row customHeight="1" ht="11.25">
      <c r="A48" s="1700" t="s">
        <v>1833</v>
      </c>
      <c r="E48" s="1033" t="s">
        <v>1834</v>
      </c>
      <c r="F48" s="1741" t="s">
        <v>1835</v>
      </c>
      <c r="G48" s="1742" t="str">
        <f>_xlfn.IFERROR(IF(f_year="","01.01."&amp;CURRENT_YEAR,"01.01."&amp;f_year),"01.01."&amp;CURRENT_YEAR)</f>
        <v>01.01.2024</v>
      </c>
      <c r="H48" s="1742" t="str">
        <f>_xlfn.IFERROR(IF(f_year="","31.12."&amp;CURRENT_YEAR,"31.12."&amp;f_year),"31.12."&amp;CURRENT_YEAR)</f>
        <v>31.12.2024</v>
      </c>
      <c r="I48" s="2368">
        <f>IF(f_year="",TRUE,FALSE)</f>
        <v>0</v>
      </c>
      <c r="J48" s="2371" t="s">
        <v>1836</v>
      </c>
      <c r="K48" s="2372"/>
      <c r="AX48" s="1746" t="s">
        <v>1837</v>
      </c>
      <c r="AZ48" s="1746" t="s">
        <v>1549</v>
      </c>
      <c r="BE48" s="1746">
        <v>2046</v>
      </c>
      <c r="BH48" s="1694" t="s">
        <v>1809</v>
      </c>
      <c r="BJ48" s="1843" t="s">
        <v>1214</v>
      </c>
      <c r="BL48" s="1843" t="s">
        <v>1214</v>
      </c>
      <c r="BN48" s="1694" t="s">
        <v>1838</v>
      </c>
    </row>
    <row customHeight="1" ht="11.25">
      <c r="A49" s="1700" t="s">
        <v>1839</v>
      </c>
      <c r="E49" s="1033" t="s">
        <v>1840</v>
      </c>
      <c r="F49" s="1741" t="s">
        <v>1841</v>
      </c>
      <c r="G49" s="1742" t="str">
        <f>_xlfn.IFERROR(IF(f_year="","01.01."&amp;CURRENT_YEAR,"01.01."&amp;f_year),"01.01."&amp;CURRENT_YEAR)</f>
        <v>01.01.2024</v>
      </c>
      <c r="H49" s="1742" t="str">
        <f>_xlfn.IFERROR(IF(f_year="","31.12."&amp;CURRENT_YEAR,"31.12."&amp;f_year),"31.12."&amp;CURRENT_YEAR)</f>
        <v>31.12.2024</v>
      </c>
      <c r="I49" s="2368">
        <f>IF(f_year="",TRUE,FALSE)</f>
        <v>0</v>
      </c>
      <c r="J49" s="23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372"/>
      <c r="AX49" s="1746" t="s">
        <v>1842</v>
      </c>
      <c r="AZ49" s="1746" t="s">
        <v>1565</v>
      </c>
      <c r="BE49" s="1746">
        <v>2047</v>
      </c>
      <c r="BH49" s="1694" t="s">
        <v>1230</v>
      </c>
      <c r="BJ49" s="1843" t="s">
        <v>1216</v>
      </c>
      <c r="BL49" s="1843" t="s">
        <v>1216</v>
      </c>
    </row>
    <row customHeight="1" ht="11.25">
      <c r="A50" s="1700" t="s">
        <v>1843</v>
      </c>
      <c r="E50" s="1033" t="s">
        <v>1844</v>
      </c>
      <c r="F50" s="1741" t="s">
        <v>1200</v>
      </c>
      <c r="G50" s="1742" t="str">
        <f>_xlfn.IFERROR(IF(f_year="","01.01."&amp;CURRENT_YEAR,"01.01."&amp;f_year),"01.01."&amp;CURRENT_YEAR)</f>
        <v>01.01.2024</v>
      </c>
      <c r="H50" s="1742" t="str">
        <f>_xlfn.IFERROR(IF(f_year="","31.12."&amp;CURRENT_YEAR,"31.12."&amp;f_year),"31.12."&amp;CURRENT_YEAR)</f>
        <v>31.12.2024</v>
      </c>
      <c r="I50" s="2368">
        <f>IF(f_year="",TRUE,FALSE)</f>
        <v>0</v>
      </c>
      <c r="J50" s="23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372"/>
      <c r="AX50" s="1746" t="s">
        <v>1845</v>
      </c>
      <c r="AZ50" s="1746" t="s">
        <v>1581</v>
      </c>
      <c r="BE50" s="1746">
        <v>2048</v>
      </c>
      <c r="BH50" s="1694" t="s">
        <v>1816</v>
      </c>
      <c r="BJ50" s="1843" t="s">
        <v>1218</v>
      </c>
      <c r="BL50" s="1843" t="s">
        <v>1218</v>
      </c>
    </row>
    <row customHeight="1" ht="11.25">
      <c r="A51" s="1700" t="s">
        <v>1846</v>
      </c>
      <c r="E51" s="1033" t="s">
        <v>1847</v>
      </c>
      <c r="F51" s="1741" t="s">
        <v>1848</v>
      </c>
      <c r="G51" s="1742" t="str">
        <f>_xlfn.IFERROR(IF(TITLE_PERIOD_START="","01.01."&amp;CURRENT_YEAR,"01.01."&amp;YEAR(TITLE_PERIOD_START)),"01.01."&amp;CURRENT_YEAR)</f>
        <v>01.01.2024</v>
      </c>
      <c r="H51" s="1742" t="str">
        <f>_xlfn.IFERROR(IF(TITLE_PERIOD_END="","31.12."&amp;CURRENT_YEAR,"31.12."&amp;YEAR(TITLE_PERIOD_END)),"31.12."&amp;CURRENT_YEAR)</f>
        <v>31.12.2024</v>
      </c>
      <c r="I51" s="2369">
        <f>IF(OR(TITLE_PERIOD_START="",TITLE_PERIOD_END=""),TRUE,FALSE)</f>
        <v>1</v>
      </c>
      <c r="J51" s="23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372"/>
      <c r="AX51" s="1746" t="s">
        <v>1849</v>
      </c>
      <c r="AZ51" s="1746" t="s">
        <v>1597</v>
      </c>
      <c r="BE51" s="1746">
        <v>2049</v>
      </c>
      <c r="BH51" s="1694" t="s">
        <v>1825</v>
      </c>
      <c r="BJ51" s="1843" t="s">
        <v>1850</v>
      </c>
      <c r="BL51" s="1843" t="s">
        <v>1850</v>
      </c>
    </row>
    <row customHeight="1" ht="11.25">
      <c r="A52" s="1700" t="s">
        <v>1851</v>
      </c>
      <c r="E52" s="1033" t="s">
        <v>1852</v>
      </c>
      <c r="F52" s="1741" t="s">
        <v>1853</v>
      </c>
      <c r="G52" s="1742" t="str">
        <f>_xlfn.IFERROR(IF(TITLE_PERIOD_START="","01.01."&amp;CURRENT_YEAR,"01.01."&amp;YEAR(TITLE_PERIOD_START)),"01.01."&amp;CURRENT_YEAR)</f>
        <v>01.01.2024</v>
      </c>
      <c r="H52" s="1742" t="str">
        <f>_xlfn.IFERROR(IF(TITLE_PERIOD_END="","31.12."&amp;CURRENT_YEAR,"31.12."&amp;YEAR(TITLE_PERIOD_END)),"31.12."&amp;CURRENT_YEAR)</f>
        <v>31.12.2024</v>
      </c>
      <c r="I52" s="2369">
        <f>IF(OR(TITLE_PERIOD_START="",TITLE_PERIOD_END=""),TRUE,FALSE)</f>
        <v>1</v>
      </c>
      <c r="J52" s="2371" t="str">
        <f>"Показатели, подлежащие раскрытию в сфере "&amp;TEMPLATE_SPHERE_RUS&amp;" (цены и тарифы)"</f>
        <v>Показатели, подлежащие раскрытию в сфере теплоснабжения (цены и тарифы)</v>
      </c>
      <c r="K52" s="2372"/>
      <c r="AX52" s="1746" t="s">
        <v>1854</v>
      </c>
      <c r="AZ52" s="1746" t="s">
        <v>1396</v>
      </c>
      <c r="BE52" s="1746">
        <v>2050</v>
      </c>
      <c r="BH52" s="1694" t="s">
        <v>1829</v>
      </c>
      <c r="BJ52" s="1843" t="s">
        <v>1229</v>
      </c>
      <c r="BL52" s="1843" t="s">
        <v>1229</v>
      </c>
    </row>
    <row customHeight="1" ht="11.25">
      <c r="A53" s="1700" t="s">
        <v>1855</v>
      </c>
      <c r="E53" s="1033" t="s">
        <v>1856</v>
      </c>
      <c r="F53" s="1741" t="s">
        <v>1856</v>
      </c>
      <c r="G53" s="1742" t="str">
        <f>_xlfn.IFERROR(IF(f_year="","01.01."&amp;CURRENT_YEAR,"01.01."&amp;f_year),"01.01."&amp;CURRENT_YEAR)</f>
        <v>01.01.2024</v>
      </c>
      <c r="H53" s="1742" t="str">
        <f>_xlfn.IFERROR(IF(f_year="","31.12."&amp;CURRENT_YEAR,"31.12."&amp;f_year),"31.12."&amp;CURRENT_YEAR)</f>
        <v>31.12.2024</v>
      </c>
      <c r="I53" s="2368">
        <f>IF(AND(f_year="",TITLE_DATE_FIL=""),TRUE,FALSE)</f>
        <v>0</v>
      </c>
      <c r="J53" s="2371" t="s">
        <v>1857</v>
      </c>
      <c r="K53" s="2372"/>
      <c r="AX53" s="1746" t="s">
        <v>1858</v>
      </c>
      <c r="BE53" s="1746">
        <v>2051</v>
      </c>
      <c r="BH53" s="1694" t="s">
        <v>1832</v>
      </c>
      <c r="BJ53" s="1843" t="s">
        <v>1805</v>
      </c>
      <c r="BL53" s="1843" t="s">
        <v>1805</v>
      </c>
    </row>
    <row customHeight="1" ht="11.25">
      <c r="A54" s="1700" t="s">
        <v>1859</v>
      </c>
      <c r="AX54" s="1746" t="s">
        <v>1860</v>
      </c>
      <c r="AZ54" s="1693" t="s">
        <v>1861</v>
      </c>
      <c r="BE54" s="1746">
        <v>2052</v>
      </c>
      <c r="BH54" s="1694" t="s">
        <v>1838</v>
      </c>
      <c r="BJ54" s="1843" t="s">
        <v>1809</v>
      </c>
      <c r="BL54" s="1843" t="s">
        <v>1809</v>
      </c>
    </row>
    <row customHeight="1" ht="11.25">
      <c r="A55" s="1700" t="s">
        <v>1862</v>
      </c>
      <c r="AX55" s="1746" t="s">
        <v>1863</v>
      </c>
      <c r="AZ55" s="1746" t="s">
        <v>1398</v>
      </c>
      <c r="BE55" s="1746">
        <v>2053</v>
      </c>
      <c r="BH55" s="1696" t="s">
        <v>22</v>
      </c>
      <c r="BJ55" s="1843" t="s">
        <v>1230</v>
      </c>
      <c r="BL55" s="1843" t="s">
        <v>1230</v>
      </c>
    </row>
    <row customHeight="1" ht="11.25">
      <c r="A56" s="1700" t="s">
        <v>1864</v>
      </c>
      <c r="D56" s="1744" t="s">
        <v>1865</v>
      </c>
      <c r="E56" s="1721" t="s">
        <v>1866</v>
      </c>
      <c r="F56" s="1700" t="s">
        <v>1867</v>
      </c>
      <c r="AX56" s="1746" t="s">
        <v>1868</v>
      </c>
      <c r="AZ56" s="1746" t="s">
        <v>1424</v>
      </c>
      <c r="BE56" s="1746">
        <v>2054</v>
      </c>
      <c r="BH56" s="1696" t="s">
        <v>22</v>
      </c>
      <c r="BJ56" s="1843" t="s">
        <v>1816</v>
      </c>
      <c r="BL56" s="1843" t="s">
        <v>1816</v>
      </c>
    </row>
    <row customHeight="1" ht="11.25">
      <c r="A57" s="1700" t="s">
        <v>1869</v>
      </c>
      <c r="D57" s="1744" t="s">
        <v>1870</v>
      </c>
      <c r="E57" s="1721" t="s">
        <v>1871</v>
      </c>
      <c r="F57" s="1700" t="s">
        <v>1867</v>
      </c>
      <c r="AX57" s="1746" t="s">
        <v>1872</v>
      </c>
      <c r="AZ57" s="1746" t="s">
        <v>1458</v>
      </c>
      <c r="BE57" s="1746">
        <v>2055</v>
      </c>
      <c r="BJ57" s="1843" t="s">
        <v>1825</v>
      </c>
      <c r="BL57" s="1843" t="s">
        <v>1825</v>
      </c>
    </row>
    <row customHeight="1" ht="11.25">
      <c r="A58" s="1700" t="s">
        <v>1873</v>
      </c>
      <c r="D58" s="1744" t="s">
        <v>1874</v>
      </c>
      <c r="E58" s="1721" t="s">
        <v>119</v>
      </c>
      <c r="F58" s="1700" t="s">
        <v>1867</v>
      </c>
      <c r="AX58" s="1746" t="s">
        <v>1875</v>
      </c>
      <c r="BE58" s="1746">
        <v>2056</v>
      </c>
      <c r="BJ58" s="1843" t="s">
        <v>1829</v>
      </c>
      <c r="BL58" s="1843" t="s">
        <v>1829</v>
      </c>
    </row>
    <row customHeight="1" ht="11.25">
      <c r="A59" s="1700" t="s">
        <v>1876</v>
      </c>
      <c r="D59" s="1744" t="s">
        <v>151</v>
      </c>
      <c r="E59" s="1721" t="s">
        <v>1761</v>
      </c>
      <c r="F59" s="1700" t="s">
        <v>1877</v>
      </c>
      <c r="AX59" s="1746" t="s">
        <v>1878</v>
      </c>
      <c r="AZ59" s="1693" t="s">
        <v>1879</v>
      </c>
      <c r="BE59" s="1746">
        <v>2057</v>
      </c>
      <c r="BJ59" s="1843" t="s">
        <v>1832</v>
      </c>
      <c r="BL59" s="1843" t="s">
        <v>1832</v>
      </c>
    </row>
    <row customHeight="1" ht="11.25">
      <c r="A60" s="1700" t="s">
        <v>1880</v>
      </c>
      <c r="D60" s="1744" t="s">
        <v>1881</v>
      </c>
      <c r="E60" s="1721" t="s">
        <v>1761</v>
      </c>
      <c r="F60" s="1700" t="s">
        <v>1877</v>
      </c>
      <c r="AX60" s="1746" t="s">
        <v>1882</v>
      </c>
      <c r="AZ60" s="1746" t="s">
        <v>1399</v>
      </c>
      <c r="BE60" s="1746">
        <v>2058</v>
      </c>
      <c r="BJ60" s="1843" t="s">
        <v>1838</v>
      </c>
      <c r="BL60" s="1843" t="s">
        <v>1838</v>
      </c>
    </row>
    <row customHeight="1" ht="11.25">
      <c r="A61" s="1700" t="s">
        <v>1883</v>
      </c>
      <c r="D61" s="1744" t="s">
        <v>1884</v>
      </c>
      <c r="E61" s="1721" t="s">
        <v>1761</v>
      </c>
      <c r="F61" s="1700" t="s">
        <v>1877</v>
      </c>
      <c r="AX61" s="1746" t="s">
        <v>1885</v>
      </c>
      <c r="AZ61" s="1746" t="s">
        <v>1425</v>
      </c>
      <c r="BE61" s="1746">
        <v>2059</v>
      </c>
      <c r="BL61" s="1843" t="s">
        <v>1222</v>
      </c>
    </row>
    <row customHeight="1" ht="11.25">
      <c r="A62" s="1700" t="s">
        <v>1886</v>
      </c>
      <c r="D62" s="1744" t="s">
        <v>150</v>
      </c>
      <c r="E62" s="1721">
        <v>30</v>
      </c>
      <c r="F62" s="1700" t="s">
        <v>1877</v>
      </c>
      <c r="AZ62" s="1746" t="s">
        <v>1459</v>
      </c>
      <c r="BE62" s="1746">
        <v>2060</v>
      </c>
      <c r="BL62" s="1843" t="s">
        <v>1224</v>
      </c>
    </row>
    <row customHeight="1" ht="11.25">
      <c r="A63" s="1700" t="s">
        <v>1887</v>
      </c>
      <c r="D63" s="1744" t="s">
        <v>1888</v>
      </c>
      <c r="E63" s="1721">
        <v>30</v>
      </c>
      <c r="F63" s="1700" t="s">
        <v>1877</v>
      </c>
      <c r="AZ63" s="1746" t="s">
        <v>1491</v>
      </c>
      <c r="BE63" s="1746">
        <v>2061</v>
      </c>
    </row>
    <row customHeight="1" ht="11.25">
      <c r="A64" s="1700" t="s">
        <v>1889</v>
      </c>
      <c r="D64" s="1744" t="s">
        <v>1890</v>
      </c>
      <c r="E64" s="1721">
        <v>30</v>
      </c>
      <c r="F64" s="1700" t="s">
        <v>1877</v>
      </c>
      <c r="AZ64" s="1746" t="s">
        <v>1514</v>
      </c>
      <c r="BE64" s="1746">
        <v>2062</v>
      </c>
    </row>
    <row customHeight="1" ht="11.25">
      <c r="A65" s="1700" t="s">
        <v>1891</v>
      </c>
      <c r="D65" s="1700"/>
      <c r="BE65" s="1746">
        <v>2063</v>
      </c>
    </row>
    <row customHeight="1" ht="11.25">
      <c r="A66" s="1700" t="s">
        <v>1892</v>
      </c>
      <c r="AZ66" s="1693" t="s">
        <v>1893</v>
      </c>
      <c r="BE66" s="1746">
        <v>2064</v>
      </c>
    </row>
    <row customHeight="1" ht="11.25">
      <c r="A67" s="1700" t="s">
        <v>1894</v>
      </c>
      <c r="AZ67" s="1746" t="s">
        <v>1400</v>
      </c>
      <c r="BE67" s="1746">
        <v>2065</v>
      </c>
    </row>
    <row customHeight="1" ht="11.25">
      <c r="A68" s="1700" t="s">
        <v>1895</v>
      </c>
      <c r="AZ68" s="1746" t="s">
        <v>1426</v>
      </c>
      <c r="BE68" s="1746">
        <v>2066</v>
      </c>
      <c r="BH68" s="1693" t="s">
        <v>1896</v>
      </c>
      <c r="BJ68" s="1693" t="s">
        <v>1897</v>
      </c>
      <c r="BL68" s="1693" t="s">
        <v>1898</v>
      </c>
      <c r="BN68" s="1693" t="s">
        <v>1899</v>
      </c>
    </row>
    <row customHeight="1" ht="11.25">
      <c r="A69" s="1700" t="s">
        <v>1900</v>
      </c>
      <c r="AZ69" s="1746" t="s">
        <v>1460</v>
      </c>
      <c r="BE69" s="1746">
        <v>2067</v>
      </c>
      <c r="BH69" s="1694" t="s">
        <v>1901</v>
      </c>
      <c r="BI69" s="1743" t="s">
        <v>118</v>
      </c>
      <c r="BJ69" s="1694" t="s">
        <v>1902</v>
      </c>
      <c r="BK69" s="1743" t="s">
        <v>118</v>
      </c>
      <c r="BL69" s="1694" t="s">
        <v>1903</v>
      </c>
      <c r="BM69" s="1696" t="s">
        <v>118</v>
      </c>
      <c r="BN69" s="1694" t="s">
        <v>1904</v>
      </c>
    </row>
    <row customHeight="1" ht="11.25">
      <c r="A70" s="1700" t="s">
        <v>1905</v>
      </c>
      <c r="AZ70" s="1746" t="s">
        <v>1492</v>
      </c>
      <c r="BE70" s="1746">
        <v>2068</v>
      </c>
      <c r="BH70" s="1694" t="s">
        <v>1906</v>
      </c>
      <c r="BJ70" s="1694" t="s">
        <v>1907</v>
      </c>
      <c r="BL70" s="1694" t="s">
        <v>1908</v>
      </c>
      <c r="BN70" s="1694" t="s">
        <v>1909</v>
      </c>
    </row>
    <row customHeight="1" ht="11.25">
      <c r="A71" s="1700" t="s">
        <v>1910</v>
      </c>
      <c r="AZ71" s="1746" t="s">
        <v>1494</v>
      </c>
      <c r="BE71" s="1746">
        <v>2069</v>
      </c>
      <c r="BH71" s="1694" t="s">
        <v>1911</v>
      </c>
      <c r="BI71" s="1743" t="s">
        <v>90</v>
      </c>
      <c r="BJ71" s="1694" t="s">
        <v>1912</v>
      </c>
      <c r="BK71" s="1743" t="s">
        <v>90</v>
      </c>
      <c r="BL71" s="1694" t="s">
        <v>1913</v>
      </c>
      <c r="BM71" s="1696" t="s">
        <v>90</v>
      </c>
      <c r="BN71" s="1694" t="s">
        <v>1914</v>
      </c>
    </row>
    <row customHeight="1" ht="11.25">
      <c r="A72" s="1700" t="s">
        <v>1915</v>
      </c>
      <c r="AZ72" s="1746" t="s">
        <v>19</v>
      </c>
      <c r="BE72" s="1746">
        <v>2070</v>
      </c>
      <c r="BH72" s="1694" t="s">
        <v>1916</v>
      </c>
      <c r="BJ72" s="1694" t="s">
        <v>1916</v>
      </c>
      <c r="BL72" s="1694" t="s">
        <v>1916</v>
      </c>
      <c r="BN72" s="1694" t="s">
        <v>1917</v>
      </c>
    </row>
    <row customHeight="1" ht="11.25">
      <c r="A73" s="1700" t="s">
        <v>1918</v>
      </c>
      <c r="BH73" s="1694" t="s">
        <v>1919</v>
      </c>
      <c r="BI73" s="1743" t="s">
        <v>119</v>
      </c>
      <c r="BJ73" s="1694" t="s">
        <v>1920</v>
      </c>
      <c r="BK73" s="1743" t="s">
        <v>119</v>
      </c>
      <c r="BL73" s="1694" t="s">
        <v>1921</v>
      </c>
      <c r="BM73" s="1696" t="s">
        <v>119</v>
      </c>
      <c r="BN73" s="1694" t="s">
        <v>1922</v>
      </c>
    </row>
    <row customHeight="1" ht="11.25">
      <c r="A74" s="1700" t="s">
        <v>1923</v>
      </c>
      <c r="BH74" s="1694" t="s">
        <v>1924</v>
      </c>
      <c r="BJ74" s="1694" t="s">
        <v>1925</v>
      </c>
      <c r="BL74" s="1694" t="s">
        <v>1926</v>
      </c>
      <c r="BN74" s="1694" t="s">
        <v>1927</v>
      </c>
    </row>
    <row customHeight="1" ht="11.25">
      <c r="A75" s="1700" t="s">
        <v>1928</v>
      </c>
      <c r="AZ75" s="1693" t="s">
        <v>1929</v>
      </c>
      <c r="BH75" s="1694" t="s">
        <v>1930</v>
      </c>
      <c r="BJ75" s="1694" t="s">
        <v>1930</v>
      </c>
      <c r="BL75" s="1694" t="s">
        <v>1930</v>
      </c>
    </row>
    <row customHeight="1" ht="11.25">
      <c r="A76" s="1700" t="s">
        <v>1931</v>
      </c>
      <c r="AZ76" s="1746" t="s">
        <v>1409</v>
      </c>
      <c r="BH76" s="1694" t="s">
        <v>1932</v>
      </c>
      <c r="BJ76" s="1694" t="s">
        <v>1933</v>
      </c>
      <c r="BL76" s="1694" t="s">
        <v>1934</v>
      </c>
    </row>
    <row customHeight="1" ht="11.25">
      <c r="A77" s="1700" t="s">
        <v>1935</v>
      </c>
      <c r="AZ77" s="1746" t="s">
        <v>1436</v>
      </c>
    </row>
    <row customHeight="1" ht="11.25">
      <c r="A78" s="1700" t="s">
        <v>1936</v>
      </c>
      <c r="AZ78" s="1746" t="s">
        <v>1467</v>
      </c>
    </row>
    <row customHeight="1" ht="11.25">
      <c r="A79" s="1700" t="s">
        <v>1937</v>
      </c>
      <c r="AZ79" s="1746" t="s">
        <v>1498</v>
      </c>
      <c r="BH79" s="1693" t="s">
        <v>1938</v>
      </c>
      <c r="BJ79" s="1693" t="s">
        <v>1939</v>
      </c>
      <c r="BL79" s="1693" t="s">
        <v>1940</v>
      </c>
    </row>
    <row customHeight="1" ht="11.25">
      <c r="A80" s="1700" t="s">
        <v>1941</v>
      </c>
      <c r="AZ80" s="1746" t="s">
        <v>1519</v>
      </c>
      <c r="BH80" s="1694" t="s">
        <v>1942</v>
      </c>
      <c r="BJ80" s="1694" t="s">
        <v>1943</v>
      </c>
      <c r="BL80" s="1694" t="s">
        <v>1944</v>
      </c>
    </row>
    <row customHeight="1" ht="11.25">
      <c r="A81" s="1700" t="s">
        <v>1945</v>
      </c>
      <c r="AZ81" s="1746" t="s">
        <v>1536</v>
      </c>
      <c r="BH81" s="1694" t="s">
        <v>1946</v>
      </c>
      <c r="BJ81" s="1694" t="s">
        <v>1947</v>
      </c>
      <c r="BL81" s="1694" t="s">
        <v>1948</v>
      </c>
    </row>
    <row customHeight="1" ht="11.25">
      <c r="A82" s="1700" t="s">
        <v>1949</v>
      </c>
      <c r="AZ82" s="1746" t="s">
        <v>1551</v>
      </c>
      <c r="BH82" s="1694" t="s">
        <v>1950</v>
      </c>
      <c r="BJ82" s="1694" t="s">
        <v>1951</v>
      </c>
      <c r="BL82" s="1694" t="s">
        <v>1952</v>
      </c>
    </row>
    <row customHeight="1" ht="11.25">
      <c r="A83" s="1700" t="s">
        <v>1953</v>
      </c>
      <c r="BH83" s="1694" t="s">
        <v>1954</v>
      </c>
      <c r="BJ83" s="1694" t="s">
        <v>1955</v>
      </c>
      <c r="BL83" s="1694" t="s">
        <v>1956</v>
      </c>
    </row>
    <row customHeight="1" ht="11.25">
      <c r="A84" s="1700" t="s">
        <v>1957</v>
      </c>
      <c r="AZ84" s="1693" t="s">
        <v>1958</v>
      </c>
    </row>
    <row customHeight="1" ht="11.25">
      <c r="A85" s="2496" t="s">
        <v>1959</v>
      </c>
      <c r="AZ85" s="1746" t="s">
        <v>1960</v>
      </c>
    </row>
    <row customHeight="1" ht="11.25">
      <c r="A86" s="1700" t="s">
        <v>1961</v>
      </c>
      <c r="AZ86" s="1746" t="s">
        <v>1962</v>
      </c>
      <c r="BH86" s="1693" t="s">
        <v>1963</v>
      </c>
      <c r="BJ86" s="1693" t="s">
        <v>1964</v>
      </c>
      <c r="BL86" s="1693" t="s">
        <v>1965</v>
      </c>
    </row>
    <row customHeight="1" ht="11.25">
      <c r="A87" s="1700" t="s">
        <v>1966</v>
      </c>
      <c r="AZ87" s="1746" t="s">
        <v>1967</v>
      </c>
      <c r="BH87" s="1694" t="s">
        <v>1968</v>
      </c>
      <c r="BJ87" s="1694" t="s">
        <v>1969</v>
      </c>
      <c r="BL87" s="1694" t="s">
        <v>1970</v>
      </c>
    </row>
    <row customHeight="1" ht="11.25">
      <c r="A88" s="1700" t="s">
        <v>1971</v>
      </c>
      <c r="AZ88" s="2232"/>
      <c r="BH88" s="1694" t="s">
        <v>1972</v>
      </c>
      <c r="BJ88" s="1694" t="s">
        <v>1973</v>
      </c>
      <c r="BL88" s="1694" t="s">
        <v>1974</v>
      </c>
    </row>
    <row customHeight="1" ht="11.25">
      <c r="A89" s="1700" t="s">
        <v>1975</v>
      </c>
      <c r="AZ89" s="1693" t="s">
        <v>1976</v>
      </c>
    </row>
    <row customHeight="1" ht="11.25">
      <c r="A90" s="1700" t="s">
        <v>1977</v>
      </c>
      <c r="AZ90" s="1746" t="s">
        <v>1200</v>
      </c>
    </row>
    <row customHeight="1" ht="11.25">
      <c r="A91" s="1700" t="s">
        <v>1978</v>
      </c>
      <c r="AZ91" s="1746" t="s">
        <v>1236</v>
      </c>
      <c r="BH91" s="1693" t="s">
        <v>1979</v>
      </c>
      <c r="BJ91" s="1693" t="s">
        <v>1980</v>
      </c>
      <c r="BL91" s="1693" t="s">
        <v>1981</v>
      </c>
    </row>
    <row customHeight="1" ht="11.25">
      <c r="AZ92" s="1746" t="s">
        <v>1982</v>
      </c>
      <c r="BH92" s="1694" t="s">
        <v>1983</v>
      </c>
      <c r="BJ92" s="1694" t="s">
        <v>1984</v>
      </c>
      <c r="BL92" s="1694" t="s">
        <v>1985</v>
      </c>
    </row>
    <row customHeight="1" ht="11.25">
      <c r="AZ93" s="1746" t="s">
        <v>1986</v>
      </c>
      <c r="BH93" s="1694" t="s">
        <v>1987</v>
      </c>
      <c r="BJ93" s="1694" t="s">
        <v>1988</v>
      </c>
      <c r="BL93" s="1694" t="s">
        <v>1989</v>
      </c>
    </row>
    <row customHeight="1" ht="11.25">
      <c r="AZ94" s="1746" t="s">
        <v>1990</v>
      </c>
    </row>
    <row r="96" customHeight="1" ht="11.25">
      <c r="AZ96" s="1693" t="s">
        <v>1991</v>
      </c>
      <c r="BH96" s="1693" t="s">
        <v>1992</v>
      </c>
      <c r="BJ96" s="1693" t="s">
        <v>1993</v>
      </c>
      <c r="BL96" s="1693" t="s">
        <v>1994</v>
      </c>
      <c r="BN96" s="1693" t="s">
        <v>1995</v>
      </c>
    </row>
    <row customHeight="1" ht="11.25">
      <c r="AZ97" s="2527" t="s">
        <v>1996</v>
      </c>
      <c r="BA97" s="2528" t="s">
        <v>1997</v>
      </c>
      <c r="BH97" s="1694" t="s">
        <v>1998</v>
      </c>
      <c r="BJ97" s="1694" t="s">
        <v>1999</v>
      </c>
      <c r="BL97" s="1694" t="s">
        <v>2000</v>
      </c>
      <c r="BN97" s="1694" t="s">
        <v>2001</v>
      </c>
    </row>
    <row customHeight="1" ht="11.25">
      <c r="AZ98" s="2527" t="s">
        <v>2002</v>
      </c>
      <c r="BA98" s="2528" t="s">
        <v>2003</v>
      </c>
      <c r="BH98" s="1694" t="s">
        <v>2004</v>
      </c>
      <c r="BJ98" s="1694" t="s">
        <v>2005</v>
      </c>
      <c r="BL98" s="1694" t="s">
        <v>2006</v>
      </c>
      <c r="BN98" s="1694" t="s">
        <v>2007</v>
      </c>
    </row>
    <row customHeight="1" ht="22.5">
      <c r="AZ99" s="2527" t="s">
        <v>2008</v>
      </c>
      <c r="BA99" s="25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694" t="s">
        <v>2009</v>
      </c>
      <c r="BJ99" s="1694" t="s">
        <v>2010</v>
      </c>
      <c r="BL99" s="1694" t="s">
        <v>2011</v>
      </c>
      <c r="BN99" s="1694" t="s">
        <v>2012</v>
      </c>
    </row>
    <row customHeight="1" ht="22.5">
      <c r="AZ100" s="2527" t="s">
        <v>2013</v>
      </c>
      <c r="BA100" s="252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694" t="s">
        <v>1597</v>
      </c>
      <c r="BL100" s="1694" t="s">
        <v>1597</v>
      </c>
      <c r="BN100" s="1694" t="s">
        <v>2014</v>
      </c>
    </row>
    <row customHeight="1" ht="22.5">
      <c r="AZ101" s="2527" t="s">
        <v>2015</v>
      </c>
      <c r="BA101" s="2528" t="s">
        <v>2016</v>
      </c>
      <c r="BN101" s="1694" t="s">
        <v>2017</v>
      </c>
    </row>
    <row customHeight="1" ht="22.5">
      <c r="AZ102" s="2527" t="s">
        <v>2018</v>
      </c>
      <c r="BA102" s="252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694" t="s">
        <v>2019</v>
      </c>
    </row>
    <row customHeight="1" ht="11.25">
      <c r="AZ103" s="2527" t="s">
        <v>2020</v>
      </c>
      <c r="BA103" s="2528" t="s">
        <v>2021</v>
      </c>
      <c r="BN103" s="1694" t="s">
        <v>2022</v>
      </c>
    </row>
    <row customHeight="1" ht="11.25">
      <c r="BN104" s="1694" t="s">
        <v>2023</v>
      </c>
    </row>
    <row customHeight="1" ht="11.25">
      <c r="AZ105" s="2318" t="s">
        <v>2024</v>
      </c>
    </row>
    <row customHeight="1" ht="11.25">
      <c r="AZ106" s="1746" t="s">
        <v>2025</v>
      </c>
    </row>
    <row customHeight="1" ht="11.25">
      <c r="AZ107" s="1746" t="s">
        <v>2026</v>
      </c>
      <c r="BH107" s="1693" t="s">
        <v>2027</v>
      </c>
      <c r="BJ107" s="1693" t="s">
        <v>2028</v>
      </c>
      <c r="BL107" s="1693" t="s">
        <v>2029</v>
      </c>
      <c r="BN107" s="1693" t="s">
        <v>2030</v>
      </c>
    </row>
    <row customHeight="1" ht="11.25">
      <c r="AZ108" s="1746" t="s">
        <v>589</v>
      </c>
      <c r="BH108" s="1694" t="s">
        <v>2031</v>
      </c>
      <c r="BJ108" s="1694" t="s">
        <v>2032</v>
      </c>
      <c r="BL108" s="1694" t="s">
        <v>1683</v>
      </c>
      <c r="BN108" s="1694" t="s">
        <v>2033</v>
      </c>
    </row>
    <row customHeight="1" ht="11.25">
      <c r="BH109" s="1694" t="s">
        <v>2034</v>
      </c>
    </row>
    <row customHeight="1" ht="11.25">
      <c r="AZ110" s="2318" t="s">
        <v>2035</v>
      </c>
      <c r="BH110" s="1694" t="s">
        <v>2034</v>
      </c>
    </row>
    <row customHeight="1" ht="11.25">
      <c r="AZ111" s="2527" t="s">
        <v>1996</v>
      </c>
      <c r="BA111" s="2528" t="s">
        <v>1997</v>
      </c>
    </row>
    <row customHeight="1" ht="11.25">
      <c r="AZ112" s="2527" t="s">
        <v>2002</v>
      </c>
      <c r="BA112" s="2528" t="s">
        <v>2003</v>
      </c>
    </row>
    <row customHeight="1" ht="22.5">
      <c r="AZ113" s="2527" t="s">
        <v>2008</v>
      </c>
      <c r="BA113" s="252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527" t="s">
        <v>2013</v>
      </c>
      <c r="BA114" s="252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693" t="s">
        <v>2036</v>
      </c>
    </row>
    <row customHeight="1" ht="22.5">
      <c r="AZ115" s="2527" t="s">
        <v>2018</v>
      </c>
      <c r="BA115" s="252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694" t="s">
        <v>1396</v>
      </c>
    </row>
    <row customHeight="1" ht="11.25">
      <c r="AZ116" s="2527" t="s">
        <v>2020</v>
      </c>
      <c r="BA116" s="2528" t="s">
        <v>2021</v>
      </c>
      <c r="BH116" s="1694" t="s">
        <v>1422</v>
      </c>
    </row>
    <row customHeight="1" ht="11.25">
      <c r="BH117" s="1694" t="s">
        <v>1456</v>
      </c>
    </row>
    <row customHeight="1" ht="11.25">
      <c r="BH118" s="1694" t="s">
        <v>1489</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09C898-B28D-642A-6B1F-0D4268D0FD13}"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35108" width="15.00390625" hidden="1" customWidth="1"/>
    <col min="3" max="3" style="35153" width="3.00390625" customWidth="1"/>
    <col min="4" max="4" style="35154" width="6.00390625" customWidth="1"/>
    <col min="5" max="5" style="35153" width="52.00390625" customWidth="1"/>
    <col min="6" max="6" style="35153" width="48.00390625" customWidth="1"/>
    <col min="7" max="7" style="35153" width="93.00390625" customWidth="1"/>
    <col min="8" max="8" style="35153" width="8.00390625" customWidth="1"/>
    <col min="9" max="9" style="35153" width="64.00390625" customWidth="1"/>
    <col min="10" max="10" style="35153" width="9.140625" hidden="1"/>
  </cols>
  <sheetData>
    <row customHeight="1" ht="11.25" hidden="1">
      <c r="A1" s="1127" t="s">
        <v>317</v>
      </c>
      <c r="J1" s="1081" t="s">
        <v>14</v>
      </c>
    </row>
    <row customHeight="1" ht="22.5" hidden="1">
      <c r="A2" s="1128"/>
      <c r="B2" s="1128"/>
      <c r="C2" s="2356" t="s">
        <v>103</v>
      </c>
      <c r="D2" s="2146"/>
      <c r="E2" s="2152"/>
      <c r="F2" s="2175"/>
      <c r="H2" s="1101"/>
      <c r="J2" s="1081">
        <v>0</v>
      </c>
    </row>
    <row customHeight="1" ht="11.25" hidden="1">
      <c r="J3" s="1081">
        <v>0</v>
      </c>
    </row>
    <row customHeight="1" ht="11.549999999999999">
      <c r="A4" s="2176"/>
      <c r="B4" s="2176"/>
      <c r="J4" s="1081">
        <v>11</v>
      </c>
    </row>
    <row customHeight="1" ht="27.299999999999997">
      <c r="D5" s="286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865"/>
      <c r="F5" s="2866"/>
      <c r="I5" s="1341"/>
      <c r="J5" s="1081">
        <v>26</v>
      </c>
    </row>
    <row customHeight="1" ht="18">
      <c r="D6" s="2802" t="str">
        <f>IF(region_name=0,"Не определено",region_name)</f>
        <v>Амурская область</v>
      </c>
      <c r="E6" s="2802"/>
      <c r="F6" s="2802"/>
      <c r="I6" s="1341"/>
      <c r="J6" s="1081">
        <v>17</v>
      </c>
    </row>
    <row s="35066" customFormat="1" customHeight="1" ht="11.549999999999999">
      <c r="A7" s="1127"/>
      <c r="B7" s="1127"/>
      <c r="D7" s="1340"/>
      <c r="E7" s="1340"/>
      <c r="F7" s="1378"/>
      <c r="G7" s="1340"/>
      <c r="J7" s="1103">
        <v>11</v>
      </c>
    </row>
    <row customHeight="1" ht="11.25" hidden="1">
      <c r="A8" s="1128"/>
      <c r="B8" s="1128"/>
      <c r="C8" s="1083"/>
      <c r="D8" s="1089"/>
      <c r="E8" s="2833"/>
      <c r="F8" s="2833"/>
      <c r="J8" s="1081">
        <v>0</v>
      </c>
    </row>
    <row customHeight="1" ht="11.549999999999999">
      <c r="A9" s="1128"/>
      <c r="B9" s="1128"/>
      <c r="C9" s="1083"/>
      <c r="D9" s="2830" t="s">
        <v>318</v>
      </c>
      <c r="E9" s="2831"/>
      <c r="F9" s="2831"/>
      <c r="G9" s="2834" t="s">
        <v>319</v>
      </c>
      <c r="J9" s="1081">
        <v>11</v>
      </c>
    </row>
    <row customHeight="1" ht="11.549999999999999">
      <c r="A10" s="1128"/>
      <c r="B10" s="1128"/>
      <c r="C10" s="1083"/>
      <c r="D10" s="2100" t="s">
        <v>88</v>
      </c>
      <c r="E10" s="2102" t="s">
        <v>320</v>
      </c>
      <c r="F10" s="2102" t="s">
        <v>321</v>
      </c>
      <c r="G10" s="2835"/>
      <c r="J10" s="1081">
        <v>11</v>
      </c>
    </row>
    <row customHeight="1" ht="1.05">
      <c r="A11" s="1128"/>
      <c r="B11" s="1128"/>
      <c r="C11" s="1083"/>
      <c r="D11" s="1090"/>
      <c r="E11" s="1090"/>
      <c r="F11" s="1090"/>
      <c r="G11" s="1090"/>
      <c r="J11" s="1081">
        <v>1</v>
      </c>
    </row>
    <row customHeight="1" ht="24">
      <c r="A12" s="1128"/>
      <c r="B12" s="1128"/>
      <c r="C12" s="1083"/>
      <c r="D12" s="2146">
        <v>1</v>
      </c>
      <c r="E12" s="110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534" t="str">
        <f>IF(org="","",org)</f>
        <v>АО "ДГК"</v>
      </c>
      <c r="G12" s="110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159"/>
      <c r="J12" s="1081">
        <v>23</v>
      </c>
    </row>
    <row customHeight="1" ht="19.95">
      <c r="A13" s="1128"/>
      <c r="B13" s="1128"/>
      <c r="C13" s="1083"/>
      <c r="D13" s="2146">
        <v>2</v>
      </c>
      <c r="E13" s="2153" t="s">
        <v>2037</v>
      </c>
      <c r="F13" s="2147" t="s">
        <v>324</v>
      </c>
      <c r="G13" s="1100"/>
      <c r="H13" s="2159"/>
      <c r="J13" s="1081">
        <v>19</v>
      </c>
    </row>
    <row customHeight="1" ht="19.95">
      <c r="A14" s="1128"/>
      <c r="B14" s="1128"/>
      <c r="C14" s="1083"/>
      <c r="D14" s="2149" t="s">
        <v>730</v>
      </c>
      <c r="E14" s="2150" t="s">
        <v>2038</v>
      </c>
      <c r="F14" s="2152"/>
      <c r="G14" s="2151" t="s">
        <v>2039</v>
      </c>
      <c r="H14" s="2159"/>
      <c r="J14" s="1081">
        <v>19</v>
      </c>
    </row>
    <row customHeight="1" ht="19.95">
      <c r="A15" s="1128"/>
      <c r="B15" s="1128"/>
      <c r="C15" s="1083"/>
      <c r="D15" s="2149" t="s">
        <v>325</v>
      </c>
      <c r="E15" s="2150" t="s">
        <v>2040</v>
      </c>
      <c r="F15" s="2152"/>
      <c r="G15" s="2151" t="s">
        <v>2041</v>
      </c>
      <c r="H15" s="2159"/>
      <c r="J15" s="1081">
        <v>19</v>
      </c>
    </row>
    <row customHeight="1" ht="24">
      <c r="A16" s="1128"/>
      <c r="B16" s="1128"/>
      <c r="C16" s="1083"/>
      <c r="D16" s="2149" t="s">
        <v>328</v>
      </c>
      <c r="E16" s="2148" t="s">
        <v>2042</v>
      </c>
      <c r="F16" s="2157"/>
      <c r="G16" s="1100" t="s">
        <v>2043</v>
      </c>
      <c r="H16" s="2159"/>
      <c r="J16" s="1081">
        <v>23</v>
      </c>
    </row>
    <row customHeight="1" ht="48.29999999999999">
      <c r="A17" s="1128"/>
      <c r="B17" s="1128"/>
      <c r="C17" s="1083"/>
      <c r="D17" s="2146">
        <v>3</v>
      </c>
      <c r="E17" s="2153" t="s">
        <v>2044</v>
      </c>
      <c r="F17" s="2152"/>
      <c r="G17" s="1100" t="s">
        <v>2045</v>
      </c>
      <c r="H17" s="2159"/>
      <c r="J17" s="1081">
        <v>46</v>
      </c>
    </row>
    <row customHeight="1" ht="48.29999999999999">
      <c r="A18" s="2101">
        <v>1</v>
      </c>
      <c r="B18" s="1128"/>
      <c r="C18" s="2103"/>
      <c r="D18" s="2146" t="s">
        <v>91</v>
      </c>
      <c r="E18" s="2153" t="s">
        <v>2046</v>
      </c>
      <c r="F18" s="2152"/>
      <c r="G18" s="1100" t="s">
        <v>2045</v>
      </c>
      <c r="H18" s="2159"/>
      <c r="I18" s="1478"/>
      <c r="J18" s="1081">
        <v>46</v>
      </c>
    </row>
    <row customHeight="1" ht="23.25">
      <c r="A19" s="1128"/>
      <c r="B19" s="1128"/>
      <c r="C19" s="1083"/>
      <c r="D19" s="2146" t="s">
        <v>119</v>
      </c>
      <c r="E19" s="2153" t="s">
        <v>2047</v>
      </c>
      <c r="F19" s="2147" t="s">
        <v>324</v>
      </c>
      <c r="G19" s="3097" t="s">
        <v>2048</v>
      </c>
      <c r="H19" s="1101"/>
      <c r="J19" s="1081">
        <v>22</v>
      </c>
    </row>
    <row s="37256" customFormat="1" customHeight="1" ht="5.25" hidden="1">
      <c r="A20" s="1128"/>
      <c r="B20" s="1128"/>
      <c r="C20" s="2155"/>
      <c r="D20" s="2154" t="s">
        <v>1297</v>
      </c>
      <c r="E20" s="1640"/>
      <c r="F20" s="1639"/>
      <c r="G20" s="3098"/>
      <c r="J20" s="2156">
        <v>0</v>
      </c>
    </row>
    <row customHeight="1" ht="15.75">
      <c r="A21" s="1128"/>
      <c r="B21" s="1128"/>
      <c r="C21" s="1083"/>
      <c r="D21" s="1093"/>
      <c r="E21" s="1041" t="s">
        <v>357</v>
      </c>
      <c r="F21" s="1095"/>
      <c r="G21" s="3099"/>
      <c r="H21" s="2159"/>
      <c r="J21" s="1081">
        <v>15</v>
      </c>
    </row>
    <row s="35108" customFormat="1" customHeight="1" ht="26.25">
      <c r="A22" s="1128"/>
      <c r="B22" s="1128"/>
      <c r="C22" s="1128"/>
      <c r="D22" s="2146" t="s">
        <v>92</v>
      </c>
      <c r="E22" s="1100" t="s">
        <v>2049</v>
      </c>
      <c r="F22" s="2152"/>
      <c r="G22" s="1100" t="s">
        <v>2050</v>
      </c>
      <c r="H22" s="2158"/>
      <c r="J22" s="1127">
        <v>25</v>
      </c>
    </row>
    <row s="35108" customFormat="1" customHeight="1" ht="19.95">
      <c r="A23" s="1128"/>
      <c r="B23" s="1128"/>
      <c r="C23" s="1128"/>
      <c r="D23" s="2146" t="s">
        <v>93</v>
      </c>
      <c r="E23" s="2153" t="s">
        <v>2051</v>
      </c>
      <c r="F23" s="2157"/>
      <c r="G23" s="1100" t="s">
        <v>2052</v>
      </c>
      <c r="H23" s="2158"/>
      <c r="J23" s="1127">
        <v>19</v>
      </c>
    </row>
    <row s="35108" customFormat="1" customHeight="1" ht="144" hidden="1">
      <c r="A24" s="1128"/>
      <c r="B24" s="1128"/>
      <c r="C24" s="1128"/>
      <c r="D24" s="2146" t="s">
        <v>120</v>
      </c>
      <c r="E24" s="25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524"/>
      <c r="G24" s="25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158"/>
      <c r="J24" s="1127">
        <v>0</v>
      </c>
    </row>
    <row customHeight="1" ht="11.25" hidden="1">
      <c r="A25" s="1127" t="s">
        <v>82</v>
      </c>
      <c r="B25" s="1127">
        <v>0</v>
      </c>
      <c r="C25" s="1081">
        <v>3</v>
      </c>
      <c r="D25" s="1082">
        <v>6</v>
      </c>
      <c r="E25" s="1081">
        <v>52</v>
      </c>
      <c r="F25" s="1081">
        <v>48</v>
      </c>
      <c r="G25" s="1081">
        <v>93</v>
      </c>
      <c r="H25" s="1081">
        <v>8</v>
      </c>
      <c r="I25" s="1081">
        <v>64</v>
      </c>
      <c r="J25" s="1081">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F4FF93-A9A2-7069-B31A-B552CF269533}"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34580" width="9.140625" hidden="1"/>
    <col min="2" max="2" style="34657" width="9.140625" hidden="1"/>
    <col min="3" max="3" style="34580" width="3.7109375" hidden="1" customWidth="1"/>
    <col min="4" max="4" style="34756" width="3.00390625" customWidth="1"/>
    <col min="5" max="5" style="34580" width="6.00390625" customWidth="1"/>
    <col min="6" max="6" style="34580" width="46.00390625" customWidth="1"/>
    <col min="7" max="8" style="34580" width="16.00390625" customWidth="1"/>
    <col min="9" max="9" style="34580" width="35.00390625" customWidth="1"/>
    <col min="10" max="10" style="34580" width="89.00390625" customWidth="1"/>
    <col min="11" max="11" style="34757" width="3.00390625" customWidth="1"/>
    <col min="12" max="14" style="34757" width="8.00390625" customWidth="1"/>
    <col min="15" max="15" style="34757" width="25.00390625" customWidth="1"/>
    <col min="16" max="16" style="34757" width="14.00390625" customWidth="1"/>
    <col min="17" max="20" style="34758" width="8.00390625" customWidth="1"/>
    <col min="21" max="254" style="34580" width="8.00390625" customWidth="1"/>
    <col min="255" max="255" style="34580" width="9.140625" hidden="1"/>
  </cols>
  <sheetData>
    <row customHeight="1" ht="22.5" hidden="1">
      <c r="F1" s="2257" t="s">
        <v>2053</v>
      </c>
      <c r="G1" s="2257" t="s">
        <v>48</v>
      </c>
      <c r="H1" s="2257" t="s">
        <v>50</v>
      </c>
      <c r="IU1" s="1781" t="s">
        <v>14</v>
      </c>
    </row>
    <row s="34718" customFormat="1" customHeight="1" ht="22.5" hidden="1">
      <c r="A2" s="1457"/>
      <c r="B2" s="1786">
        <v>1</v>
      </c>
      <c r="C2" s="1786"/>
      <c r="D2" s="2554" t="s">
        <v>103</v>
      </c>
      <c r="E2" s="2110"/>
      <c r="F2" s="2117"/>
      <c r="G2" s="2117"/>
      <c r="H2" s="2117"/>
      <c r="I2" s="2610"/>
      <c r="J2" s="2611"/>
      <c r="K2" s="2161"/>
      <c r="L2" s="1137"/>
      <c r="M2" s="1137"/>
      <c r="N2" s="1126" t="str">
        <f t="array" ref="N2:N2">IF(ISERROR(MATCH(MID(O2,1,250),MID(note_ter,1,250),0)),"n","y")</f>
        <v>n</v>
      </c>
      <c r="O2" s="1137"/>
      <c r="P2" s="1126" t="str">
        <f>G2&amp;"("&amp;J2&amp;")"</f>
        <v>()</v>
      </c>
      <c r="Q2" s="1786"/>
      <c r="R2" s="1786"/>
      <c r="S2" s="1046"/>
      <c r="T2" s="1786"/>
      <c r="U2" s="1786"/>
      <c r="V2" s="1786"/>
      <c r="W2" s="1048"/>
      <c r="X2" s="1048"/>
      <c r="Y2" s="1045"/>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8"/>
      <c r="BU2" s="1048"/>
      <c r="BV2" s="1048"/>
      <c r="BW2" s="1048"/>
      <c r="BX2" s="1048"/>
      <c r="BY2" s="1048"/>
      <c r="BZ2" s="1048"/>
      <c r="CA2" s="1048"/>
      <c r="CB2" s="1048"/>
      <c r="CC2" s="1048"/>
      <c r="IU2" s="1049">
        <v>0</v>
      </c>
    </row>
    <row s="34658" customFormat="1" customHeight="1" ht="4.2">
      <c r="A3" s="1122"/>
      <c r="D3" s="1120"/>
      <c r="F3" s="873" t="s">
        <v>83</v>
      </c>
      <c r="G3" s="1120" t="s">
        <v>84</v>
      </c>
      <c r="H3" s="1120"/>
      <c r="I3" s="1120"/>
      <c r="J3" s="853" t="s">
        <v>85</v>
      </c>
      <c r="K3" s="873" t="s">
        <v>83</v>
      </c>
      <c r="L3" s="873"/>
      <c r="M3" s="873"/>
      <c r="N3" s="873"/>
      <c r="O3" s="874"/>
      <c r="P3" s="873"/>
      <c r="Q3" s="873"/>
      <c r="R3" s="873"/>
      <c r="S3" s="873"/>
      <c r="T3" s="873"/>
      <c r="U3" s="853"/>
      <c r="V3" s="853"/>
      <c r="W3" s="853"/>
      <c r="X3" s="853"/>
      <c r="Y3" s="853"/>
      <c r="Z3" s="853"/>
      <c r="AA3" s="853"/>
      <c r="AB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FX3" s="853"/>
      <c r="FY3" s="853"/>
      <c r="FZ3" s="853"/>
      <c r="GA3" s="853"/>
      <c r="GB3" s="853"/>
      <c r="GC3" s="853"/>
      <c r="GD3" s="853"/>
      <c r="GE3" s="853"/>
      <c r="GF3" s="853"/>
      <c r="GG3" s="853"/>
      <c r="GH3" s="853"/>
      <c r="GI3" s="853"/>
      <c r="GJ3" s="853"/>
      <c r="GK3" s="853"/>
      <c r="GL3" s="853"/>
      <c r="GM3" s="853"/>
      <c r="GN3" s="853"/>
      <c r="GO3" s="853"/>
      <c r="GP3" s="853"/>
      <c r="GQ3" s="853"/>
      <c r="GR3" s="853"/>
      <c r="GS3" s="853"/>
      <c r="GT3" s="853"/>
      <c r="GU3" s="853"/>
      <c r="GV3" s="853"/>
      <c r="GW3" s="853"/>
      <c r="GX3" s="853"/>
      <c r="GY3" s="853"/>
      <c r="GZ3" s="853"/>
      <c r="HA3" s="853"/>
      <c r="HB3" s="853"/>
      <c r="HC3" s="853"/>
      <c r="HD3" s="853"/>
      <c r="HE3" s="853"/>
      <c r="HF3" s="853"/>
      <c r="HG3" s="853"/>
      <c r="HH3" s="853"/>
      <c r="HI3" s="853"/>
      <c r="HJ3" s="853"/>
      <c r="HK3" s="853"/>
      <c r="HL3" s="853"/>
      <c r="HM3" s="853"/>
      <c r="HN3" s="853"/>
      <c r="HO3" s="853"/>
      <c r="HP3" s="853"/>
      <c r="HQ3" s="853"/>
      <c r="HR3" s="853"/>
      <c r="HS3" s="853"/>
      <c r="HT3" s="853"/>
      <c r="HU3" s="853"/>
      <c r="HV3" s="853"/>
      <c r="HW3" s="853"/>
      <c r="HX3" s="853"/>
      <c r="HY3" s="853"/>
      <c r="HZ3" s="853"/>
      <c r="IA3" s="853"/>
      <c r="IB3" s="853"/>
      <c r="IC3" s="853"/>
      <c r="ID3" s="853"/>
      <c r="IE3" s="853"/>
      <c r="IF3" s="853"/>
      <c r="IG3" s="853"/>
      <c r="IH3" s="853"/>
      <c r="II3" s="853"/>
      <c r="IJ3" s="853"/>
      <c r="IK3" s="853"/>
      <c r="IL3" s="853"/>
      <c r="IM3" s="853"/>
      <c r="IN3" s="853"/>
      <c r="IO3" s="853"/>
      <c r="IP3" s="853"/>
      <c r="IQ3" s="853"/>
      <c r="IR3" s="853"/>
      <c r="IS3" s="853"/>
      <c r="IT3" s="853"/>
      <c r="IU3" s="1137">
        <v>4</v>
      </c>
    </row>
    <row s="34673" customFormat="1" customHeight="1" ht="14.699999999999998">
      <c r="A4" s="1781"/>
      <c r="B4" s="1786"/>
      <c r="C4" s="1781"/>
      <c r="D4" s="2121"/>
      <c r="E4" s="1135"/>
      <c r="F4" s="2268"/>
      <c r="G4" s="1135"/>
      <c r="H4" s="1135"/>
      <c r="I4" s="1135"/>
      <c r="J4" s="792"/>
      <c r="K4" s="873"/>
      <c r="L4" s="1126"/>
      <c r="M4" s="1126"/>
      <c r="N4" s="1126"/>
      <c r="O4" s="852"/>
      <c r="P4" s="1126"/>
      <c r="Q4" s="851"/>
      <c r="R4" s="851"/>
      <c r="S4" s="851"/>
      <c r="T4" s="851"/>
      <c r="IU4" s="1133">
        <v>14</v>
      </c>
    </row>
    <row s="34673" customFormat="1" customHeight="1" ht="27.299999999999997">
      <c r="A5" s="1781"/>
      <c r="B5" s="1786"/>
      <c r="C5" s="1781"/>
      <c r="D5" s="2121"/>
      <c r="E5" s="272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26"/>
      <c r="G5" s="2726"/>
      <c r="H5" s="2726"/>
      <c r="I5" s="2726"/>
      <c r="J5" s="2726"/>
      <c r="K5" s="873"/>
      <c r="L5" s="1126"/>
      <c r="M5" s="1126"/>
      <c r="N5" s="1126"/>
      <c r="O5" s="852"/>
      <c r="P5" s="1126"/>
      <c r="Q5" s="851"/>
      <c r="R5" s="851"/>
      <c r="S5" s="851"/>
      <c r="T5" s="851"/>
      <c r="IU5" s="1133">
        <v>26</v>
      </c>
    </row>
    <row s="34673" customFormat="1" customHeight="1" ht="14.699999999999998">
      <c r="A6" s="1781"/>
      <c r="B6" s="1786"/>
      <c r="C6" s="1781"/>
      <c r="D6" s="2121"/>
      <c r="E6" s="1135"/>
      <c r="F6" s="793"/>
      <c r="G6" s="793"/>
      <c r="H6" s="793"/>
      <c r="I6" s="793"/>
      <c r="J6" s="794"/>
      <c r="K6" s="1126"/>
      <c r="L6" s="1126"/>
      <c r="M6" s="1126"/>
      <c r="N6" s="1126"/>
      <c r="O6" s="852"/>
      <c r="P6" s="1126"/>
      <c r="Q6" s="851"/>
      <c r="R6" s="851"/>
      <c r="S6" s="851"/>
      <c r="T6" s="851"/>
      <c r="IU6" s="1133">
        <v>14</v>
      </c>
    </row>
    <row s="34673" customFormat="1" customHeight="1" ht="14.699999999999998">
      <c r="A7" s="1781"/>
      <c r="B7" s="1786"/>
      <c r="C7" s="1781"/>
      <c r="D7" s="2121"/>
      <c r="E7" s="2727" t="s">
        <v>318</v>
      </c>
      <c r="F7" s="2728"/>
      <c r="G7" s="2728"/>
      <c r="H7" s="2728"/>
      <c r="I7" s="2728"/>
      <c r="J7" s="3100" t="s">
        <v>319</v>
      </c>
      <c r="K7" s="1126"/>
      <c r="L7" s="1126"/>
      <c r="M7" s="1126"/>
      <c r="N7" s="1126"/>
      <c r="O7" s="852"/>
      <c r="P7" s="1126"/>
      <c r="Q7" s="851"/>
      <c r="R7" s="851"/>
      <c r="S7" s="851"/>
      <c r="T7" s="851"/>
      <c r="IU7" s="1133">
        <v>14</v>
      </c>
    </row>
    <row s="34673" customFormat="1" customHeight="1" ht="21">
      <c r="A8" s="1781"/>
      <c r="B8" s="1786"/>
      <c r="C8" s="1781"/>
      <c r="D8" s="2121"/>
      <c r="E8" s="2174" t="s">
        <v>88</v>
      </c>
      <c r="F8" s="2166" t="s">
        <v>2053</v>
      </c>
      <c r="G8" s="2166" t="s">
        <v>48</v>
      </c>
      <c r="H8" s="2166" t="s">
        <v>50</v>
      </c>
      <c r="I8" s="2166" t="s">
        <v>2054</v>
      </c>
      <c r="J8" s="3101"/>
      <c r="K8" s="1126"/>
      <c r="L8" s="1126"/>
      <c r="M8" s="1126"/>
      <c r="N8" s="1126"/>
      <c r="O8" s="852"/>
      <c r="P8" s="1126"/>
      <c r="Q8" s="851"/>
      <c r="R8" s="851"/>
      <c r="S8" s="851"/>
      <c r="T8" s="851"/>
      <c r="IU8" s="1133">
        <v>20</v>
      </c>
    </row>
    <row s="34718" customFormat="1" customHeight="1" ht="23.25">
      <c r="A9" s="2257"/>
      <c r="B9" s="1786">
        <v>1</v>
      </c>
      <c r="C9" s="1786"/>
      <c r="D9" s="1427"/>
      <c r="E9" s="2110">
        <v>1</v>
      </c>
      <c r="F9" s="2173"/>
      <c r="G9" s="2117"/>
      <c r="H9" s="2117"/>
      <c r="I9" s="2164"/>
      <c r="J9" s="279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161"/>
      <c r="L9" s="1137"/>
      <c r="M9" s="1137"/>
      <c r="N9" s="1126" t="str">
        <f t="array" ref="N9:N9">IF(ISERROR(MATCH(MID(O9,1,250),MID(note_ter,1,250),0)),"n","y")</f>
        <v>n</v>
      </c>
      <c r="O9" s="1137"/>
      <c r="P9" s="112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786"/>
      <c r="R9" s="1786"/>
      <c r="S9" s="1046"/>
      <c r="T9" s="1786"/>
      <c r="U9" s="1786"/>
      <c r="V9" s="1786"/>
      <c r="W9" s="1048"/>
      <c r="X9" s="1048"/>
      <c r="Y9" s="1045"/>
      <c r="Z9" s="1045"/>
      <c r="AA9" s="1045"/>
      <c r="AB9" s="1045"/>
      <c r="AC9" s="1045"/>
      <c r="AD9" s="1045"/>
      <c r="AE9" s="1045"/>
      <c r="AF9" s="1045"/>
      <c r="AG9" s="1045"/>
      <c r="AH9" s="1045"/>
      <c r="AI9" s="1045"/>
      <c r="AJ9" s="1045"/>
      <c r="AK9" s="1045"/>
      <c r="AL9" s="1045"/>
      <c r="AM9" s="1045"/>
      <c r="AN9" s="1045"/>
      <c r="AO9" s="1045"/>
      <c r="AP9" s="1045"/>
      <c r="AQ9" s="1045"/>
      <c r="AR9" s="1045"/>
      <c r="AS9" s="1045"/>
      <c r="AT9" s="1045"/>
      <c r="AU9" s="1045"/>
      <c r="AV9" s="1045"/>
      <c r="AW9" s="1045"/>
      <c r="AX9" s="1045"/>
      <c r="AY9" s="1045"/>
      <c r="AZ9" s="1045"/>
      <c r="BA9" s="1045"/>
      <c r="BB9" s="1045"/>
      <c r="BC9" s="1045"/>
      <c r="BD9" s="1045"/>
      <c r="BE9" s="1045"/>
      <c r="BF9" s="1045"/>
      <c r="BG9" s="1045"/>
      <c r="BH9" s="1045"/>
      <c r="BI9" s="1045"/>
      <c r="BJ9" s="1045"/>
      <c r="BK9" s="1045"/>
      <c r="BL9" s="1045"/>
      <c r="BM9" s="1045"/>
      <c r="BN9" s="1045"/>
      <c r="BO9" s="1045"/>
      <c r="BP9" s="1045"/>
      <c r="BQ9" s="1045"/>
      <c r="BR9" s="1045"/>
      <c r="BS9" s="1045"/>
      <c r="BT9" s="1048"/>
      <c r="BU9" s="1048"/>
      <c r="BV9" s="1048"/>
      <c r="BW9" s="1048"/>
      <c r="BX9" s="1048"/>
      <c r="BY9" s="1048"/>
      <c r="BZ9" s="1048"/>
      <c r="CA9" s="1048"/>
      <c r="CB9" s="1048"/>
      <c r="CC9" s="1048"/>
      <c r="IU9" s="1049">
        <v>22</v>
      </c>
    </row>
    <row s="34718" customFormat="1" customHeight="1" ht="15.75">
      <c r="A10" s="2257"/>
      <c r="B10" s="1786"/>
      <c r="C10" s="1038"/>
      <c r="D10" s="1427"/>
      <c r="E10" s="2167"/>
      <c r="F10" s="2126" t="s">
        <v>2055</v>
      </c>
      <c r="G10" s="2168"/>
      <c r="H10" s="2168"/>
      <c r="I10" s="2525"/>
      <c r="J10" s="2797"/>
      <c r="K10" s="2162"/>
      <c r="L10" s="1137"/>
      <c r="M10" s="1137"/>
      <c r="N10" s="1137"/>
      <c r="O10" s="1126"/>
      <c r="P10" s="1137"/>
      <c r="Q10" s="1786"/>
      <c r="R10" s="1786"/>
      <c r="S10" s="1046"/>
      <c r="T10" s="1786"/>
      <c r="U10" s="1786"/>
      <c r="V10" s="1786"/>
      <c r="W10" s="1048"/>
      <c r="X10" s="1048"/>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c r="AT10" s="1045"/>
      <c r="AU10" s="1045"/>
      <c r="AV10" s="1045"/>
      <c r="AW10" s="1045"/>
      <c r="AX10" s="1045"/>
      <c r="AY10" s="1045"/>
      <c r="AZ10" s="1045"/>
      <c r="BA10" s="1045"/>
      <c r="BB10" s="1045"/>
      <c r="BC10" s="1045"/>
      <c r="BD10" s="1045"/>
      <c r="BE10" s="1045"/>
      <c r="BF10" s="1045"/>
      <c r="BG10" s="1045"/>
      <c r="BH10" s="1045"/>
      <c r="BI10" s="1045"/>
      <c r="BJ10" s="1045"/>
      <c r="BK10" s="1045"/>
      <c r="BL10" s="1045"/>
      <c r="BM10" s="1045"/>
      <c r="BN10" s="1045"/>
      <c r="BO10" s="1045"/>
      <c r="BP10" s="1045"/>
      <c r="BQ10" s="1045"/>
      <c r="BR10" s="1045"/>
      <c r="BS10" s="1045"/>
      <c r="BT10" s="1048"/>
      <c r="BU10" s="1048"/>
      <c r="BV10" s="1048"/>
      <c r="BW10" s="1048"/>
      <c r="BX10" s="1048"/>
      <c r="BY10" s="1048"/>
      <c r="BZ10" s="1048"/>
      <c r="CA10" s="1048"/>
      <c r="CB10" s="1048"/>
      <c r="CC10" s="1048"/>
      <c r="IU10" s="1049">
        <v>15</v>
      </c>
    </row>
    <row s="34673" customFormat="1" customHeight="1" ht="22.049999999999997">
      <c r="A11" s="1781"/>
      <c r="B11" s="1786"/>
      <c r="C11" s="1781"/>
      <c r="D11" s="1077"/>
      <c r="E11" s="806"/>
      <c r="F11" s="806"/>
      <c r="G11" s="806"/>
      <c r="H11" s="806"/>
      <c r="I11" s="806"/>
      <c r="J11" s="806"/>
      <c r="K11" s="1126"/>
      <c r="L11" s="1126"/>
      <c r="M11" s="1126"/>
      <c r="N11" s="1126"/>
      <c r="O11" s="852"/>
      <c r="P11" s="1126"/>
      <c r="Q11" s="851"/>
      <c r="R11" s="851"/>
      <c r="S11" s="851"/>
      <c r="T11" s="851"/>
      <c r="IU11" s="1133">
        <v>21</v>
      </c>
    </row>
    <row s="34673" customFormat="1" customHeight="1" ht="14.699999999999998">
      <c r="A12" s="1781"/>
      <c r="B12" s="1786"/>
      <c r="C12" s="1781"/>
      <c r="D12" s="1077"/>
      <c r="E12" s="1781"/>
      <c r="F12" s="1781"/>
      <c r="G12" s="1781"/>
      <c r="H12" s="1781"/>
      <c r="I12" s="1781"/>
      <c r="J12" s="1781"/>
      <c r="K12" s="1126"/>
      <c r="L12" s="1126"/>
      <c r="M12" s="1126"/>
      <c r="N12" s="1126"/>
      <c r="O12" s="852"/>
      <c r="P12" s="1126"/>
      <c r="Q12" s="851"/>
      <c r="R12" s="851"/>
      <c r="S12" s="851"/>
      <c r="T12" s="851"/>
      <c r="IU12" s="1133">
        <v>14</v>
      </c>
    </row>
    <row s="34673" customFormat="1" customHeight="1" ht="1.05">
      <c r="A13" s="1781"/>
      <c r="B13" s="1786"/>
      <c r="C13" s="1781"/>
      <c r="D13" s="1077"/>
      <c r="E13" s="1781"/>
      <c r="F13" s="1781"/>
      <c r="G13" s="1781"/>
      <c r="H13" s="1781"/>
      <c r="I13" s="1781"/>
      <c r="J13" s="1781"/>
      <c r="K13" s="1126"/>
      <c r="L13" s="1126"/>
      <c r="M13" s="1126"/>
      <c r="N13" s="1126"/>
      <c r="O13" s="852"/>
      <c r="P13" s="1126"/>
      <c r="Q13" s="851"/>
      <c r="R13" s="851"/>
      <c r="S13" s="851"/>
      <c r="T13" s="851"/>
      <c r="IU13" s="1133">
        <v>1</v>
      </c>
    </row>
    <row s="34751" customFormat="1" customHeight="1" ht="10.5">
      <c r="B14" s="1460"/>
      <c r="D14" s="808"/>
      <c r="K14" s="1126"/>
      <c r="L14" s="1126"/>
      <c r="M14" s="1126"/>
      <c r="N14" s="1126"/>
      <c r="O14" s="852"/>
      <c r="P14" s="1126"/>
      <c r="Q14" s="851"/>
      <c r="R14" s="851"/>
      <c r="S14" s="851"/>
      <c r="T14" s="851"/>
      <c r="IU14" s="807">
        <v>10</v>
      </c>
    </row>
    <row s="34751" customFormat="1" customHeight="1" ht="10.5">
      <c r="B15" s="1460"/>
      <c r="D15" s="808"/>
      <c r="K15" s="1126"/>
      <c r="L15" s="1126"/>
      <c r="M15" s="1126"/>
      <c r="N15" s="1126"/>
      <c r="O15" s="852"/>
      <c r="P15" s="1126"/>
      <c r="Q15" s="851"/>
      <c r="R15" s="851"/>
      <c r="S15" s="851"/>
      <c r="T15" s="851"/>
      <c r="IU15" s="807">
        <v>10</v>
      </c>
    </row>
    <row customHeight="1" ht="14.699999999999998">
      <c r="IU16" s="1781">
        <v>14</v>
      </c>
    </row>
    <row customHeight="1" ht="14.699999999999998">
      <c r="IU17" s="1781">
        <v>14</v>
      </c>
    </row>
    <row customHeight="1" ht="14.699999999999998">
      <c r="IU18" s="1781">
        <v>14</v>
      </c>
    </row>
    <row customHeight="1" ht="14.699999999999998">
      <c r="G19" s="999"/>
      <c r="H19" s="999"/>
      <c r="I19" s="999"/>
      <c r="IU19" s="1781">
        <v>14</v>
      </c>
    </row>
    <row customHeight="1" ht="14.699999999999998">
      <c r="IU20" s="1781">
        <v>14</v>
      </c>
    </row>
    <row customHeight="1" ht="14.699999999999998">
      <c r="IU21" s="1781">
        <v>14</v>
      </c>
    </row>
    <row customHeight="1" ht="14.699999999999998">
      <c r="IU22" s="1781">
        <v>14</v>
      </c>
    </row>
    <row customHeight="1" ht="14.699999999999998">
      <c r="K23" s="1781"/>
      <c r="L23" s="1781"/>
      <c r="M23" s="1781"/>
      <c r="IU23" s="1781">
        <v>14</v>
      </c>
    </row>
    <row customHeight="1" ht="22.5" hidden="1">
      <c r="A24" s="1781" t="s">
        <v>82</v>
      </c>
      <c r="B24" s="1786">
        <v>0</v>
      </c>
      <c r="C24" s="1781">
        <v>0</v>
      </c>
      <c r="D24" s="1077">
        <v>3</v>
      </c>
      <c r="E24" s="1781">
        <v>6</v>
      </c>
      <c r="F24" s="1781">
        <v>46</v>
      </c>
      <c r="G24" s="1781">
        <v>16</v>
      </c>
      <c r="H24" s="1781">
        <v>16</v>
      </c>
      <c r="I24" s="1781">
        <v>35</v>
      </c>
      <c r="J24" s="1781">
        <v>89</v>
      </c>
      <c r="K24" s="1126">
        <v>3</v>
      </c>
      <c r="L24" s="1126">
        <v>8</v>
      </c>
      <c r="M24" s="1126">
        <v>8</v>
      </c>
      <c r="N24" s="1126">
        <v>8</v>
      </c>
      <c r="O24" s="852">
        <v>25</v>
      </c>
      <c r="P24" s="1126">
        <v>14</v>
      </c>
      <c r="Q24" s="851">
        <v>8</v>
      </c>
      <c r="R24" s="851">
        <v>8</v>
      </c>
      <c r="S24" s="851">
        <v>8</v>
      </c>
      <c r="T24" s="851">
        <v>8</v>
      </c>
      <c r="U24" s="1781">
        <v>8</v>
      </c>
      <c r="V24" s="1781">
        <v>8</v>
      </c>
      <c r="W24" s="1781">
        <v>8</v>
      </c>
      <c r="X24" s="1781">
        <v>8</v>
      </c>
      <c r="Y24" s="1781">
        <v>8</v>
      </c>
      <c r="Z24" s="1781">
        <v>8</v>
      </c>
      <c r="AA24" s="1781">
        <v>8</v>
      </c>
      <c r="AB24" s="1781">
        <v>8</v>
      </c>
      <c r="AC24" s="1781">
        <v>8</v>
      </c>
      <c r="AD24" s="1781">
        <v>8</v>
      </c>
      <c r="AE24" s="1781">
        <v>8</v>
      </c>
      <c r="AF24" s="1781">
        <v>8</v>
      </c>
      <c r="AG24" s="1781">
        <v>8</v>
      </c>
      <c r="AH24" s="1781">
        <v>8</v>
      </c>
      <c r="AI24" s="1781">
        <v>8</v>
      </c>
      <c r="AJ24" s="1781">
        <v>8</v>
      </c>
      <c r="AK24" s="1781">
        <v>8</v>
      </c>
      <c r="AL24" s="1781">
        <v>8</v>
      </c>
      <c r="AM24" s="1781">
        <v>8</v>
      </c>
      <c r="AN24" s="1781">
        <v>8</v>
      </c>
      <c r="AO24" s="1781">
        <v>8</v>
      </c>
      <c r="AP24" s="1781">
        <v>8</v>
      </c>
      <c r="AQ24" s="1781">
        <v>8</v>
      </c>
      <c r="AR24" s="1781">
        <v>8</v>
      </c>
      <c r="AS24" s="1781">
        <v>8</v>
      </c>
      <c r="AT24" s="1781">
        <v>8</v>
      </c>
      <c r="AU24" s="1781">
        <v>8</v>
      </c>
      <c r="AV24" s="1781">
        <v>8</v>
      </c>
      <c r="AW24" s="1781">
        <v>8</v>
      </c>
      <c r="AX24" s="1781">
        <v>8</v>
      </c>
      <c r="AY24" s="1781">
        <v>8</v>
      </c>
      <c r="AZ24" s="1781">
        <v>8</v>
      </c>
      <c r="BA24" s="1781">
        <v>8</v>
      </c>
      <c r="BB24" s="1781">
        <v>8</v>
      </c>
      <c r="BC24" s="1781">
        <v>8</v>
      </c>
      <c r="BD24" s="1781">
        <v>8</v>
      </c>
      <c r="BE24" s="1781">
        <v>8</v>
      </c>
      <c r="BF24" s="1781">
        <v>8</v>
      </c>
      <c r="BG24" s="1781">
        <v>8</v>
      </c>
      <c r="BH24" s="1781">
        <v>8</v>
      </c>
      <c r="BI24" s="1781">
        <v>8</v>
      </c>
      <c r="BJ24" s="1781">
        <v>8</v>
      </c>
      <c r="BK24" s="1781">
        <v>8</v>
      </c>
      <c r="BL24" s="1781">
        <v>8</v>
      </c>
      <c r="BM24" s="1781">
        <v>8</v>
      </c>
      <c r="BN24" s="1781">
        <v>8</v>
      </c>
      <c r="BO24" s="1781">
        <v>8</v>
      </c>
      <c r="BP24" s="1781">
        <v>8</v>
      </c>
      <c r="BQ24" s="1781">
        <v>8</v>
      </c>
      <c r="BR24" s="1781">
        <v>8</v>
      </c>
      <c r="BS24" s="1781">
        <v>8</v>
      </c>
      <c r="BT24" s="1781">
        <v>8</v>
      </c>
      <c r="BU24" s="1781">
        <v>8</v>
      </c>
      <c r="BV24" s="1781">
        <v>8</v>
      </c>
      <c r="BW24" s="1781">
        <v>8</v>
      </c>
      <c r="BX24" s="1781">
        <v>8</v>
      </c>
      <c r="BY24" s="1781">
        <v>8</v>
      </c>
      <c r="BZ24" s="1781">
        <v>8</v>
      </c>
      <c r="CA24" s="1781">
        <v>8</v>
      </c>
      <c r="CB24" s="1781">
        <v>8</v>
      </c>
      <c r="CC24" s="1781">
        <v>8</v>
      </c>
      <c r="CD24" s="1781">
        <v>8</v>
      </c>
      <c r="CE24" s="1781">
        <v>8</v>
      </c>
      <c r="CF24" s="1781">
        <v>8</v>
      </c>
      <c r="CG24" s="1781">
        <v>8</v>
      </c>
      <c r="CH24" s="1781">
        <v>8</v>
      </c>
      <c r="CI24" s="1781">
        <v>8</v>
      </c>
      <c r="CJ24" s="1781">
        <v>8</v>
      </c>
      <c r="CK24" s="1781">
        <v>8</v>
      </c>
      <c r="CL24" s="1781">
        <v>8</v>
      </c>
      <c r="CM24" s="1781">
        <v>8</v>
      </c>
      <c r="CN24" s="1781">
        <v>8</v>
      </c>
      <c r="CO24" s="1781">
        <v>8</v>
      </c>
      <c r="CP24" s="1781">
        <v>8</v>
      </c>
      <c r="CQ24" s="1781">
        <v>8</v>
      </c>
      <c r="CR24" s="1781">
        <v>8</v>
      </c>
      <c r="CS24" s="1781">
        <v>8</v>
      </c>
      <c r="CT24" s="1781">
        <v>8</v>
      </c>
      <c r="CU24" s="1781">
        <v>8</v>
      </c>
      <c r="CV24" s="1781">
        <v>8</v>
      </c>
      <c r="CW24" s="1781">
        <v>8</v>
      </c>
      <c r="CX24" s="1781">
        <v>8</v>
      </c>
      <c r="CY24" s="1781">
        <v>8</v>
      </c>
      <c r="CZ24" s="1781">
        <v>8</v>
      </c>
      <c r="DA24" s="1781">
        <v>8</v>
      </c>
      <c r="DB24" s="1781">
        <v>8</v>
      </c>
      <c r="DC24" s="1781">
        <v>8</v>
      </c>
      <c r="DD24" s="1781">
        <v>8</v>
      </c>
      <c r="DE24" s="1781">
        <v>8</v>
      </c>
      <c r="DF24" s="1781">
        <v>8</v>
      </c>
      <c r="DG24" s="1781">
        <v>8</v>
      </c>
      <c r="DH24" s="1781">
        <v>8</v>
      </c>
      <c r="DI24" s="1781">
        <v>8</v>
      </c>
      <c r="DJ24" s="1781">
        <v>8</v>
      </c>
      <c r="DK24" s="1781">
        <v>8</v>
      </c>
      <c r="DL24" s="1781">
        <v>8</v>
      </c>
      <c r="DM24" s="1781">
        <v>8</v>
      </c>
      <c r="DN24" s="1781">
        <v>8</v>
      </c>
      <c r="DO24" s="1781">
        <v>8</v>
      </c>
      <c r="DP24" s="1781">
        <v>8</v>
      </c>
      <c r="DQ24" s="1781">
        <v>8</v>
      </c>
      <c r="DR24" s="1781">
        <v>8</v>
      </c>
      <c r="DS24" s="1781">
        <v>8</v>
      </c>
      <c r="DT24" s="1781">
        <v>8</v>
      </c>
      <c r="DU24" s="1781">
        <v>8</v>
      </c>
      <c r="DV24" s="1781">
        <v>8</v>
      </c>
      <c r="DW24" s="1781">
        <v>8</v>
      </c>
      <c r="DX24" s="1781">
        <v>8</v>
      </c>
      <c r="DY24" s="1781">
        <v>8</v>
      </c>
      <c r="DZ24" s="1781">
        <v>8</v>
      </c>
      <c r="EA24" s="1781">
        <v>8</v>
      </c>
      <c r="EB24" s="1781">
        <v>8</v>
      </c>
      <c r="EC24" s="1781">
        <v>8</v>
      </c>
      <c r="ED24" s="1781">
        <v>8</v>
      </c>
      <c r="EE24" s="1781">
        <v>8</v>
      </c>
      <c r="EF24" s="1781">
        <v>8</v>
      </c>
      <c r="EG24" s="1781">
        <v>8</v>
      </c>
      <c r="EH24" s="1781">
        <v>8</v>
      </c>
      <c r="EI24" s="1781">
        <v>8</v>
      </c>
      <c r="EJ24" s="1781">
        <v>8</v>
      </c>
      <c r="EK24" s="1781">
        <v>8</v>
      </c>
      <c r="EL24" s="1781">
        <v>8</v>
      </c>
      <c r="EM24" s="1781">
        <v>8</v>
      </c>
      <c r="EN24" s="1781">
        <v>8</v>
      </c>
      <c r="EO24" s="1781">
        <v>8</v>
      </c>
      <c r="EP24" s="1781">
        <v>8</v>
      </c>
      <c r="EQ24" s="1781">
        <v>8</v>
      </c>
      <c r="ER24" s="1781">
        <v>8</v>
      </c>
      <c r="ES24" s="1781">
        <v>8</v>
      </c>
      <c r="ET24" s="1781">
        <v>8</v>
      </c>
      <c r="EU24" s="1781">
        <v>8</v>
      </c>
      <c r="EV24" s="1781">
        <v>8</v>
      </c>
      <c r="EW24" s="1781">
        <v>8</v>
      </c>
      <c r="EX24" s="1781">
        <v>8</v>
      </c>
      <c r="EY24" s="1781">
        <v>8</v>
      </c>
      <c r="EZ24" s="1781">
        <v>8</v>
      </c>
      <c r="FA24" s="1781">
        <v>8</v>
      </c>
      <c r="FB24" s="1781">
        <v>8</v>
      </c>
      <c r="FC24" s="1781">
        <v>8</v>
      </c>
      <c r="FD24" s="1781">
        <v>8</v>
      </c>
      <c r="FE24" s="1781">
        <v>8</v>
      </c>
      <c r="FF24" s="1781">
        <v>8</v>
      </c>
      <c r="FG24" s="1781">
        <v>8</v>
      </c>
      <c r="FH24" s="1781">
        <v>8</v>
      </c>
      <c r="FI24" s="1781">
        <v>8</v>
      </c>
      <c r="FJ24" s="1781">
        <v>8</v>
      </c>
      <c r="FK24" s="1781">
        <v>8</v>
      </c>
      <c r="FL24" s="1781">
        <v>8</v>
      </c>
      <c r="FM24" s="1781">
        <v>8</v>
      </c>
      <c r="FN24" s="1781">
        <v>8</v>
      </c>
      <c r="FO24" s="1781">
        <v>8</v>
      </c>
      <c r="FP24" s="1781">
        <v>8</v>
      </c>
      <c r="FQ24" s="1781">
        <v>8</v>
      </c>
      <c r="FR24" s="1781">
        <v>8</v>
      </c>
      <c r="FS24" s="1781">
        <v>8</v>
      </c>
      <c r="FT24" s="1781">
        <v>8</v>
      </c>
      <c r="FU24" s="1781">
        <v>8</v>
      </c>
      <c r="FV24" s="1781">
        <v>8</v>
      </c>
      <c r="FW24" s="1781">
        <v>8</v>
      </c>
      <c r="FX24" s="1781">
        <v>8</v>
      </c>
      <c r="FY24" s="1781">
        <v>8</v>
      </c>
      <c r="FZ24" s="1781">
        <v>8</v>
      </c>
      <c r="GA24" s="1781">
        <v>8</v>
      </c>
      <c r="GB24" s="1781">
        <v>8</v>
      </c>
      <c r="GC24" s="1781">
        <v>8</v>
      </c>
      <c r="GD24" s="1781">
        <v>8</v>
      </c>
      <c r="GE24" s="1781">
        <v>8</v>
      </c>
      <c r="GF24" s="1781">
        <v>8</v>
      </c>
      <c r="GG24" s="1781">
        <v>8</v>
      </c>
      <c r="GH24" s="1781">
        <v>8</v>
      </c>
      <c r="GI24" s="1781">
        <v>8</v>
      </c>
      <c r="GJ24" s="1781">
        <v>8</v>
      </c>
      <c r="GK24" s="1781">
        <v>8</v>
      </c>
      <c r="GL24" s="1781">
        <v>8</v>
      </c>
      <c r="GM24" s="1781">
        <v>8</v>
      </c>
      <c r="GN24" s="1781">
        <v>8</v>
      </c>
      <c r="GO24" s="1781">
        <v>8</v>
      </c>
      <c r="GP24" s="1781">
        <v>8</v>
      </c>
      <c r="GQ24" s="1781">
        <v>8</v>
      </c>
      <c r="GR24" s="1781">
        <v>8</v>
      </c>
      <c r="GS24" s="1781">
        <v>8</v>
      </c>
      <c r="GT24" s="1781">
        <v>8</v>
      </c>
      <c r="GU24" s="1781">
        <v>8</v>
      </c>
      <c r="GV24" s="1781">
        <v>8</v>
      </c>
      <c r="GW24" s="1781">
        <v>8</v>
      </c>
      <c r="GX24" s="1781">
        <v>8</v>
      </c>
      <c r="GY24" s="1781">
        <v>8</v>
      </c>
      <c r="GZ24" s="1781">
        <v>8</v>
      </c>
      <c r="HA24" s="1781">
        <v>8</v>
      </c>
      <c r="HB24" s="1781">
        <v>8</v>
      </c>
      <c r="HC24" s="1781">
        <v>8</v>
      </c>
      <c r="HD24" s="1781">
        <v>8</v>
      </c>
      <c r="HE24" s="1781">
        <v>8</v>
      </c>
      <c r="HF24" s="1781">
        <v>8</v>
      </c>
      <c r="HG24" s="1781">
        <v>8</v>
      </c>
      <c r="HH24" s="1781">
        <v>8</v>
      </c>
      <c r="HI24" s="1781">
        <v>8</v>
      </c>
      <c r="HJ24" s="1781">
        <v>8</v>
      </c>
      <c r="HK24" s="1781">
        <v>8</v>
      </c>
      <c r="HL24" s="1781">
        <v>8</v>
      </c>
      <c r="HM24" s="1781">
        <v>8</v>
      </c>
      <c r="HN24" s="1781">
        <v>8</v>
      </c>
      <c r="HO24" s="1781">
        <v>8</v>
      </c>
      <c r="HP24" s="1781">
        <v>8</v>
      </c>
      <c r="HQ24" s="1781">
        <v>8</v>
      </c>
      <c r="HR24" s="1781">
        <v>8</v>
      </c>
      <c r="HS24" s="1781">
        <v>8</v>
      </c>
      <c r="HT24" s="1781">
        <v>8</v>
      </c>
      <c r="HU24" s="1781">
        <v>8</v>
      </c>
      <c r="HV24" s="1781">
        <v>8</v>
      </c>
      <c r="HW24" s="1781">
        <v>8</v>
      </c>
      <c r="HX24" s="1781">
        <v>8</v>
      </c>
      <c r="HY24" s="1781">
        <v>8</v>
      </c>
      <c r="HZ24" s="1781">
        <v>8</v>
      </c>
      <c r="IA24" s="1781">
        <v>8</v>
      </c>
      <c r="IB24" s="1781">
        <v>8</v>
      </c>
      <c r="IC24" s="1781">
        <v>8</v>
      </c>
      <c r="ID24" s="1781">
        <v>8</v>
      </c>
      <c r="IE24" s="1781">
        <v>8</v>
      </c>
      <c r="IF24" s="1781">
        <v>8</v>
      </c>
      <c r="IG24" s="1781">
        <v>8</v>
      </c>
      <c r="IH24" s="1781">
        <v>8</v>
      </c>
      <c r="II24" s="1781">
        <v>8</v>
      </c>
      <c r="IJ24" s="1781">
        <v>8</v>
      </c>
      <c r="IK24" s="1781">
        <v>8</v>
      </c>
      <c r="IL24" s="1781">
        <v>8</v>
      </c>
      <c r="IM24" s="1781">
        <v>8</v>
      </c>
      <c r="IN24" s="1781">
        <v>8</v>
      </c>
      <c r="IO24" s="1781">
        <v>8</v>
      </c>
      <c r="IP24" s="1781">
        <v>8</v>
      </c>
      <c r="IQ24" s="1781">
        <v>8</v>
      </c>
      <c r="IR24" s="1781">
        <v>8</v>
      </c>
      <c r="IS24" s="1781">
        <v>8</v>
      </c>
      <c r="IT24" s="1781">
        <v>8</v>
      </c>
      <c r="IU24" s="1781">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5A3D47-56C9-2AA3-A9F8-61BA0FBDDBC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34580" width="9.140625" hidden="1"/>
    <col min="2" max="2" style="34657" width="9.140625" hidden="1"/>
    <col min="3" max="3" style="34580" width="3.7109375" hidden="1" customWidth="1"/>
    <col min="4" max="4" style="34756" width="3.00390625" customWidth="1"/>
    <col min="5" max="5" style="34580" width="6.00390625" customWidth="1"/>
    <col min="6" max="6" style="34580" width="27.00390625" customWidth="1"/>
    <col min="7" max="7" style="34580" width="16.00390625" customWidth="1"/>
    <col min="8" max="8" style="34580" width="12.00390625" customWidth="1"/>
    <col min="9" max="9" style="34580" width="32.00390625" customWidth="1"/>
    <col min="10" max="11" style="34580" width="41.00390625" customWidth="1"/>
    <col min="12" max="12" style="34580" width="89.00390625" customWidth="1"/>
    <col min="13" max="13" style="34757" width="3.00390625" customWidth="1"/>
    <col min="14" max="16" style="34757" width="8.00390625" customWidth="1"/>
    <col min="17" max="17" style="34757" width="25.00390625" customWidth="1"/>
    <col min="18" max="18" style="34757" width="14.00390625" customWidth="1"/>
    <col min="19" max="22" style="34758" width="8.00390625" customWidth="1"/>
    <col min="23" max="256" style="34580" width="8.00390625" customWidth="1"/>
    <col min="257" max="257" style="34580" width="9.140625" hidden="1"/>
  </cols>
  <sheetData>
    <row customHeight="1" ht="22.5" hidden="1">
      <c r="IW1" s="1781" t="s">
        <v>14</v>
      </c>
    </row>
    <row s="34718" customFormat="1" customHeight="1" ht="22.5" hidden="1">
      <c r="A2" s="1457"/>
      <c r="B2" s="1786">
        <v>1</v>
      </c>
      <c r="C2" s="1786"/>
      <c r="D2" s="2554" t="s">
        <v>103</v>
      </c>
      <c r="E2" s="2515"/>
      <c r="F2" s="2518" t="str">
        <f>IF(ROIV_INFO_NAME="","",ROIV_INFO_NAME)</f>
        <v>АО "ДГК"</v>
      </c>
      <c r="G2" s="2543" t="s">
        <v>22</v>
      </c>
      <c r="H2" s="2542"/>
      <c r="I2" s="2164"/>
      <c r="J2" s="1444"/>
      <c r="K2" s="1444"/>
      <c r="L2" s="854"/>
      <c r="M2" s="2161">
        <f>MERGEVALUE(F2)</f>
      </c>
      <c r="N2" s="1137"/>
      <c r="O2" s="1137"/>
      <c r="P2" s="1126" t="str">
        <f t="array" ref="P2:P2">IF(ISERROR(MATCH(MID(Q2,1,250),MID(note_ter,1,250),0)),"n","y")</f>
        <v>n</v>
      </c>
      <c r="Q2" s="1137"/>
      <c r="R2" s="1126" t="str">
        <f>G2&amp;"("&amp;L2&amp;")"</f>
        <v>()</v>
      </c>
      <c r="S2" s="1786"/>
      <c r="T2" s="1786"/>
      <c r="U2" s="1046"/>
      <c r="V2" s="1786"/>
      <c r="W2" s="1786"/>
      <c r="X2" s="1786"/>
      <c r="Y2" s="1048"/>
      <c r="Z2" s="1048"/>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8"/>
      <c r="BW2" s="1048"/>
      <c r="BX2" s="1048"/>
      <c r="BY2" s="1048"/>
      <c r="BZ2" s="1048"/>
      <c r="CA2" s="1048"/>
      <c r="CB2" s="1048"/>
      <c r="CC2" s="1048"/>
      <c r="CD2" s="1048"/>
      <c r="CE2" s="1048"/>
      <c r="IW2" s="1049">
        <v>0</v>
      </c>
    </row>
    <row s="34658" customFormat="1" customHeight="1" ht="5.25" hidden="1">
      <c r="A3" s="1122"/>
      <c r="D3" s="1120"/>
      <c r="F3" s="873" t="s">
        <v>83</v>
      </c>
      <c r="G3" s="2361" t="s">
        <v>84</v>
      </c>
      <c r="H3" s="1120"/>
      <c r="I3" s="1120"/>
      <c r="J3" s="1120"/>
      <c r="K3" s="1120"/>
      <c r="L3" s="853" t="s">
        <v>85</v>
      </c>
      <c r="M3" s="873" t="s">
        <v>83</v>
      </c>
      <c r="N3" s="873"/>
      <c r="O3" s="873"/>
      <c r="P3" s="873"/>
      <c r="Q3" s="874"/>
      <c r="R3" s="873"/>
      <c r="S3" s="873"/>
      <c r="T3" s="873"/>
      <c r="U3" s="873"/>
      <c r="V3" s="873"/>
      <c r="W3" s="853"/>
      <c r="X3" s="853"/>
      <c r="Y3" s="853"/>
      <c r="Z3" s="853"/>
      <c r="AA3" s="853"/>
      <c r="AB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FX3" s="853"/>
      <c r="FY3" s="853"/>
      <c r="FZ3" s="853"/>
      <c r="GA3" s="853"/>
      <c r="GB3" s="853"/>
      <c r="GC3" s="853"/>
      <c r="GD3" s="853"/>
      <c r="GE3" s="853"/>
      <c r="GF3" s="853"/>
      <c r="GG3" s="853"/>
      <c r="GH3" s="853"/>
      <c r="GI3" s="853"/>
      <c r="GJ3" s="853"/>
      <c r="GK3" s="853"/>
      <c r="GL3" s="853"/>
      <c r="GM3" s="853"/>
      <c r="GN3" s="853"/>
      <c r="GO3" s="853"/>
      <c r="GP3" s="853"/>
      <c r="GQ3" s="853"/>
      <c r="GR3" s="853"/>
      <c r="GS3" s="853"/>
      <c r="GT3" s="853"/>
      <c r="GU3" s="853"/>
      <c r="GV3" s="853"/>
      <c r="GW3" s="853"/>
      <c r="GX3" s="853"/>
      <c r="GY3" s="853"/>
      <c r="GZ3" s="853"/>
      <c r="HA3" s="853"/>
      <c r="HB3" s="853"/>
      <c r="HC3" s="853"/>
      <c r="HD3" s="853"/>
      <c r="HE3" s="853"/>
      <c r="HF3" s="853"/>
      <c r="HG3" s="853"/>
      <c r="HH3" s="853"/>
      <c r="HI3" s="853"/>
      <c r="HJ3" s="853"/>
      <c r="HK3" s="853"/>
      <c r="HL3" s="853"/>
      <c r="HM3" s="853"/>
      <c r="HN3" s="853"/>
      <c r="HO3" s="853"/>
      <c r="HP3" s="853"/>
      <c r="HQ3" s="853"/>
      <c r="HR3" s="853"/>
      <c r="HS3" s="853"/>
      <c r="HT3" s="853"/>
      <c r="HU3" s="853"/>
      <c r="HV3" s="853"/>
      <c r="HW3" s="853"/>
      <c r="HX3" s="853"/>
      <c r="HY3" s="853"/>
      <c r="HZ3" s="853"/>
      <c r="IA3" s="853"/>
      <c r="IB3" s="853"/>
      <c r="IC3" s="853"/>
      <c r="ID3" s="853"/>
      <c r="IE3" s="853"/>
      <c r="IF3" s="853"/>
      <c r="IG3" s="853"/>
      <c r="IH3" s="853"/>
      <c r="II3" s="853"/>
      <c r="IJ3" s="853"/>
      <c r="IK3" s="853"/>
      <c r="IL3" s="853"/>
      <c r="IM3" s="853"/>
      <c r="IN3" s="853"/>
      <c r="IO3" s="853"/>
      <c r="IP3" s="853"/>
      <c r="IQ3" s="853"/>
      <c r="IR3" s="853"/>
      <c r="IS3" s="853"/>
      <c r="IT3" s="853"/>
      <c r="IU3" s="853"/>
      <c r="IV3" s="853"/>
      <c r="IW3" s="1137">
        <v>0</v>
      </c>
    </row>
    <row s="34673" customFormat="1" customHeight="1" ht="14.699999999999998">
      <c r="A4" s="1781"/>
      <c r="B4" s="1786"/>
      <c r="C4" s="1781"/>
      <c r="D4" s="2121"/>
      <c r="E4" s="1135"/>
      <c r="F4" s="1135"/>
      <c r="G4" s="1135"/>
      <c r="H4" s="1135"/>
      <c r="I4" s="1135"/>
      <c r="J4" s="1135"/>
      <c r="K4" s="1135"/>
      <c r="L4" s="792"/>
      <c r="M4" s="873"/>
      <c r="N4" s="1126"/>
      <c r="O4" s="1126"/>
      <c r="P4" s="1126"/>
      <c r="Q4" s="852"/>
      <c r="R4" s="1126"/>
      <c r="S4" s="851"/>
      <c r="T4" s="851"/>
      <c r="U4" s="851"/>
      <c r="V4" s="851"/>
      <c r="IW4" s="1133">
        <v>14</v>
      </c>
    </row>
    <row s="34673" customFormat="1" customHeight="1" ht="27.299999999999997">
      <c r="A5" s="1781"/>
      <c r="B5" s="1786"/>
      <c r="C5" s="1781"/>
      <c r="D5" s="2121"/>
      <c r="E5" s="272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26"/>
      <c r="G5" s="2726"/>
      <c r="H5" s="2726"/>
      <c r="I5" s="2726"/>
      <c r="J5" s="2726"/>
      <c r="K5" s="2726"/>
      <c r="L5" s="1214"/>
      <c r="M5" s="873"/>
      <c r="N5" s="1126"/>
      <c r="O5" s="1126"/>
      <c r="P5" s="1126"/>
      <c r="Q5" s="852"/>
      <c r="R5" s="1126"/>
      <c r="S5" s="851"/>
      <c r="T5" s="851"/>
      <c r="U5" s="851"/>
      <c r="V5" s="851"/>
      <c r="IW5" s="1133">
        <v>26</v>
      </c>
    </row>
    <row s="34673" customFormat="1" customHeight="1" ht="14.699999999999998">
      <c r="A6" s="1781"/>
      <c r="B6" s="1786"/>
      <c r="C6" s="1781"/>
      <c r="D6" s="2121"/>
      <c r="E6" s="1135"/>
      <c r="F6" s="793"/>
      <c r="G6" s="793"/>
      <c r="H6" s="793"/>
      <c r="I6" s="793"/>
      <c r="J6" s="793"/>
      <c r="K6" s="793"/>
      <c r="L6" s="794"/>
      <c r="M6" s="1126"/>
      <c r="N6" s="1126"/>
      <c r="O6" s="1126"/>
      <c r="P6" s="1126"/>
      <c r="Q6" s="852"/>
      <c r="R6" s="1126"/>
      <c r="S6" s="851"/>
      <c r="T6" s="851"/>
      <c r="U6" s="851"/>
      <c r="V6" s="851"/>
      <c r="IW6" s="1133">
        <v>14</v>
      </c>
    </row>
    <row s="34673" customFormat="1" customHeight="1" ht="14.699999999999998">
      <c r="A7" s="1781"/>
      <c r="B7" s="1786"/>
      <c r="C7" s="1781"/>
      <c r="D7" s="2121"/>
      <c r="E7" s="2727" t="s">
        <v>318</v>
      </c>
      <c r="F7" s="2728"/>
      <c r="G7" s="2728"/>
      <c r="H7" s="2728"/>
      <c r="I7" s="2728"/>
      <c r="J7" s="2728"/>
      <c r="K7" s="2728"/>
      <c r="L7" s="3100" t="s">
        <v>319</v>
      </c>
      <c r="M7" s="1126"/>
      <c r="N7" s="1126"/>
      <c r="O7" s="1126"/>
      <c r="P7" s="1126"/>
      <c r="Q7" s="852"/>
      <c r="R7" s="1126"/>
      <c r="S7" s="851"/>
      <c r="T7" s="851"/>
      <c r="U7" s="851"/>
      <c r="V7" s="851"/>
      <c r="IW7" s="1133">
        <v>14</v>
      </c>
    </row>
    <row s="34673" customFormat="1" customHeight="1" ht="67.2">
      <c r="A8" s="1781"/>
      <c r="B8" s="1786"/>
      <c r="C8" s="1781"/>
      <c r="D8" s="2121"/>
      <c r="E8" s="3104" t="s">
        <v>88</v>
      </c>
      <c r="F8" s="310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10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107"/>
      <c r="I8" s="3108"/>
      <c r="J8" s="310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1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02"/>
      <c r="M8" s="1126"/>
      <c r="N8" s="1126"/>
      <c r="O8" s="1126"/>
      <c r="P8" s="1126"/>
      <c r="Q8" s="852"/>
      <c r="R8" s="1126"/>
      <c r="S8" s="851"/>
      <c r="T8" s="851"/>
      <c r="U8" s="851"/>
      <c r="V8" s="851"/>
      <c r="IW8" s="1133">
        <v>64</v>
      </c>
    </row>
    <row s="34673" customFormat="1" customHeight="1" ht="29.25">
      <c r="A9" s="1781"/>
      <c r="B9" s="1786"/>
      <c r="C9" s="1781"/>
      <c r="D9" s="2121"/>
      <c r="E9" s="3105"/>
      <c r="F9" s="3105"/>
      <c r="G9" s="2163" t="s">
        <v>2056</v>
      </c>
      <c r="H9" s="2163" t="s">
        <v>2057</v>
      </c>
      <c r="I9" s="2163" t="s">
        <v>2058</v>
      </c>
      <c r="J9" s="3105"/>
      <c r="K9" s="3105"/>
      <c r="L9" s="3101"/>
      <c r="M9" s="1126"/>
      <c r="N9" s="1126"/>
      <c r="O9" s="1126"/>
      <c r="P9" s="1126"/>
      <c r="Q9" s="852"/>
      <c r="R9" s="1126"/>
      <c r="S9" s="851"/>
      <c r="T9" s="851"/>
      <c r="U9" s="851"/>
      <c r="V9" s="851"/>
      <c r="IW9" s="1133">
        <v>28</v>
      </c>
    </row>
    <row s="34718" customFormat="1" customHeight="1" ht="23.25">
      <c r="A10" s="2725"/>
      <c r="B10" s="1786">
        <v>1</v>
      </c>
      <c r="C10" s="1786"/>
      <c r="D10" s="1426"/>
      <c r="E10" s="1424">
        <v>1</v>
      </c>
      <c r="F10" s="2165" t="str">
        <f>IF(ROIV_INFO_NAME="","",ROIV_INFO_NAME)</f>
        <v>АО "ДГК"</v>
      </c>
      <c r="G10" s="2358" t="s">
        <v>22</v>
      </c>
      <c r="H10" s="2542"/>
      <c r="I10" s="2160"/>
      <c r="J10" s="1444"/>
      <c r="K10" s="1444"/>
      <c r="L10" s="305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161">
        <f>MERGEVALUE(F10)</f>
      </c>
      <c r="N10" s="1137"/>
      <c r="O10" s="1137"/>
      <c r="P10" s="1126" t="str">
        <f t="array" ref="P10:P10">IF(ISERROR(MATCH(MID(Q10,1,250),MID(note_ter,1,250),0)),"n","y")</f>
        <v>n</v>
      </c>
      <c r="Q10" s="1137"/>
      <c r="R10" s="112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86"/>
      <c r="T10" s="1786"/>
      <c r="U10" s="1046"/>
      <c r="V10" s="1786"/>
      <c r="W10" s="1786"/>
      <c r="X10" s="1786"/>
      <c r="Y10" s="1048"/>
      <c r="Z10" s="1048"/>
      <c r="AA10" s="1045"/>
      <c r="AB10" s="1045"/>
      <c r="AC10" s="1045"/>
      <c r="AD10" s="1045"/>
      <c r="AE10" s="1045"/>
      <c r="AF10" s="1045"/>
      <c r="AG10" s="1045"/>
      <c r="AH10" s="1045"/>
      <c r="AI10" s="1045"/>
      <c r="AJ10" s="1045"/>
      <c r="AK10" s="1045"/>
      <c r="AL10" s="1045"/>
      <c r="AM10" s="1045"/>
      <c r="AN10" s="1045"/>
      <c r="AO10" s="1045"/>
      <c r="AP10" s="1045"/>
      <c r="AQ10" s="1045"/>
      <c r="AR10" s="1045"/>
      <c r="AS10" s="1045"/>
      <c r="AT10" s="1045"/>
      <c r="AU10" s="1045"/>
      <c r="AV10" s="1045"/>
      <c r="AW10" s="1045"/>
      <c r="AX10" s="1045"/>
      <c r="AY10" s="1045"/>
      <c r="AZ10" s="1045"/>
      <c r="BA10" s="1045"/>
      <c r="BB10" s="1045"/>
      <c r="BC10" s="1045"/>
      <c r="BD10" s="1045"/>
      <c r="BE10" s="1045"/>
      <c r="BF10" s="1045"/>
      <c r="BG10" s="1045"/>
      <c r="BH10" s="1045"/>
      <c r="BI10" s="1045"/>
      <c r="BJ10" s="1045"/>
      <c r="BK10" s="1045"/>
      <c r="BL10" s="1045"/>
      <c r="BM10" s="1045"/>
      <c r="BN10" s="1045"/>
      <c r="BO10" s="1045"/>
      <c r="BP10" s="1045"/>
      <c r="BQ10" s="1045"/>
      <c r="BR10" s="1045"/>
      <c r="BS10" s="1045"/>
      <c r="BT10" s="1045"/>
      <c r="BU10" s="1045"/>
      <c r="BV10" s="1048"/>
      <c r="BW10" s="1048"/>
      <c r="BX10" s="1048"/>
      <c r="BY10" s="1048"/>
      <c r="BZ10" s="1048"/>
      <c r="CA10" s="1048"/>
      <c r="CB10" s="1048"/>
      <c r="CC10" s="1048"/>
      <c r="CD10" s="1048"/>
      <c r="CE10" s="1048"/>
      <c r="IW10" s="1049">
        <v>22</v>
      </c>
    </row>
    <row s="34718" customFormat="1" customHeight="1" ht="15.75">
      <c r="A11" s="2725"/>
      <c r="B11" s="1786"/>
      <c r="C11" s="1038"/>
      <c r="D11" s="1427"/>
      <c r="E11" s="1047"/>
      <c r="F11" s="1042" t="s">
        <v>2059</v>
      </c>
      <c r="G11" s="813"/>
      <c r="H11" s="813"/>
      <c r="I11" s="813"/>
      <c r="J11" s="813"/>
      <c r="K11" s="1050"/>
      <c r="L11" s="3103"/>
      <c r="M11" s="2162"/>
      <c r="N11" s="1137"/>
      <c r="O11" s="1137"/>
      <c r="P11" s="1137"/>
      <c r="Q11" s="1126"/>
      <c r="R11" s="1137"/>
      <c r="S11" s="1786"/>
      <c r="T11" s="1786"/>
      <c r="U11" s="1046"/>
      <c r="V11" s="1786"/>
      <c r="W11" s="1786"/>
      <c r="X11" s="1786"/>
      <c r="Y11" s="1048"/>
      <c r="Z11" s="1048"/>
      <c r="AA11" s="1045"/>
      <c r="AB11" s="1045"/>
      <c r="AC11" s="1045"/>
      <c r="AD11" s="1045"/>
      <c r="AE11" s="1045"/>
      <c r="AF11" s="1045"/>
      <c r="AG11" s="1045"/>
      <c r="AH11" s="1045"/>
      <c r="AI11" s="1045"/>
      <c r="AJ11" s="1045"/>
      <c r="AK11" s="1045"/>
      <c r="AL11" s="1045"/>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5"/>
      <c r="BH11" s="1045"/>
      <c r="BI11" s="1045"/>
      <c r="BJ11" s="1045"/>
      <c r="BK11" s="1045"/>
      <c r="BL11" s="1045"/>
      <c r="BM11" s="1045"/>
      <c r="BN11" s="1045"/>
      <c r="BO11" s="1045"/>
      <c r="BP11" s="1045"/>
      <c r="BQ11" s="1045"/>
      <c r="BR11" s="1045"/>
      <c r="BS11" s="1045"/>
      <c r="BT11" s="1045"/>
      <c r="BU11" s="1045"/>
      <c r="BV11" s="1048"/>
      <c r="BW11" s="1048"/>
      <c r="BX11" s="1048"/>
      <c r="BY11" s="1048"/>
      <c r="BZ11" s="1048"/>
      <c r="CA11" s="1048"/>
      <c r="CB11" s="1048"/>
      <c r="CC11" s="1048"/>
      <c r="CD11" s="1048"/>
      <c r="CE11" s="1048"/>
      <c r="IW11" s="1049">
        <v>15</v>
      </c>
    </row>
    <row s="34673" customFormat="1" customHeight="1" ht="22.049999999999997">
      <c r="A12" s="1781"/>
      <c r="B12" s="1786"/>
      <c r="C12" s="1781"/>
      <c r="D12" s="1077"/>
      <c r="E12" s="806"/>
      <c r="F12" s="806"/>
      <c r="G12" s="806"/>
      <c r="H12" s="806"/>
      <c r="I12" s="806"/>
      <c r="J12" s="806"/>
      <c r="K12" s="806"/>
      <c r="L12" s="806"/>
      <c r="M12" s="1126"/>
      <c r="N12" s="1126"/>
      <c r="O12" s="1126"/>
      <c r="P12" s="1126"/>
      <c r="Q12" s="852"/>
      <c r="R12" s="1126"/>
      <c r="S12" s="851"/>
      <c r="T12" s="851"/>
      <c r="U12" s="851"/>
      <c r="V12" s="851"/>
      <c r="IW12" s="1133">
        <v>21</v>
      </c>
    </row>
    <row s="34673" customFormat="1" customHeight="1" ht="14.699999999999998">
      <c r="A13" s="1781"/>
      <c r="B13" s="1786"/>
      <c r="C13" s="1781"/>
      <c r="D13" s="1077"/>
      <c r="E13" s="1781"/>
      <c r="F13" s="1781"/>
      <c r="G13" s="1781"/>
      <c r="H13" s="1781"/>
      <c r="I13" s="1781"/>
      <c r="J13" s="1781"/>
      <c r="K13" s="1781"/>
      <c r="L13" s="1781"/>
      <c r="M13" s="1126"/>
      <c r="N13" s="1126"/>
      <c r="O13" s="1126"/>
      <c r="P13" s="1126"/>
      <c r="Q13" s="852"/>
      <c r="R13" s="1126"/>
      <c r="S13" s="851"/>
      <c r="T13" s="851"/>
      <c r="U13" s="851"/>
      <c r="V13" s="851"/>
      <c r="IW13" s="1133">
        <v>14</v>
      </c>
    </row>
    <row s="34673" customFormat="1" customHeight="1" ht="1.05">
      <c r="A14" s="1781"/>
      <c r="B14" s="1786"/>
      <c r="C14" s="1781"/>
      <c r="D14" s="1077"/>
      <c r="E14" s="1781"/>
      <c r="F14" s="1781"/>
      <c r="G14" s="1781"/>
      <c r="H14" s="1781"/>
      <c r="I14" s="1781"/>
      <c r="J14" s="1781"/>
      <c r="K14" s="1781"/>
      <c r="L14" s="1781"/>
      <c r="M14" s="1126"/>
      <c r="N14" s="1126"/>
      <c r="O14" s="1126"/>
      <c r="P14" s="1126"/>
      <c r="Q14" s="852"/>
      <c r="R14" s="1126"/>
      <c r="S14" s="851"/>
      <c r="T14" s="851"/>
      <c r="U14" s="851"/>
      <c r="V14" s="851"/>
      <c r="IW14" s="1133">
        <v>1</v>
      </c>
    </row>
    <row customHeight="1" ht="22.5" hidden="1">
      <c r="A15" s="1781" t="s">
        <v>82</v>
      </c>
      <c r="B15" s="1786">
        <v>0</v>
      </c>
      <c r="C15" s="1781">
        <v>0</v>
      </c>
      <c r="D15" s="1077">
        <v>3</v>
      </c>
      <c r="E15" s="1781">
        <v>6</v>
      </c>
      <c r="F15" s="1781">
        <v>27</v>
      </c>
      <c r="G15" s="1781">
        <v>16</v>
      </c>
      <c r="H15" s="1781">
        <v>12</v>
      </c>
      <c r="I15" s="1781">
        <v>32</v>
      </c>
      <c r="J15" s="1781">
        <v>41</v>
      </c>
      <c r="K15" s="1781">
        <v>41</v>
      </c>
      <c r="L15" s="1781">
        <v>89</v>
      </c>
      <c r="M15" s="1126">
        <v>3</v>
      </c>
      <c r="N15" s="1126">
        <v>8</v>
      </c>
      <c r="O15" s="1126">
        <v>8</v>
      </c>
      <c r="P15" s="1126">
        <v>8</v>
      </c>
      <c r="Q15" s="852">
        <v>25</v>
      </c>
      <c r="R15" s="1126">
        <v>14</v>
      </c>
      <c r="S15" s="851">
        <v>8</v>
      </c>
      <c r="T15" s="851">
        <v>8</v>
      </c>
      <c r="U15" s="851">
        <v>8</v>
      </c>
      <c r="V15" s="851">
        <v>8</v>
      </c>
      <c r="W15" s="1781">
        <v>8</v>
      </c>
      <c r="X15" s="1781">
        <v>8</v>
      </c>
      <c r="Y15" s="1781">
        <v>8</v>
      </c>
      <c r="Z15" s="1781">
        <v>8</v>
      </c>
      <c r="AA15" s="1781">
        <v>8</v>
      </c>
      <c r="AB15" s="1781">
        <v>8</v>
      </c>
      <c r="AC15" s="1781">
        <v>8</v>
      </c>
      <c r="AD15" s="1781">
        <v>8</v>
      </c>
      <c r="AE15" s="1781">
        <v>8</v>
      </c>
      <c r="AF15" s="1781">
        <v>8</v>
      </c>
      <c r="AG15" s="1781">
        <v>8</v>
      </c>
      <c r="AH15" s="1781">
        <v>8</v>
      </c>
      <c r="AI15" s="1781">
        <v>8</v>
      </c>
      <c r="AJ15" s="1781">
        <v>8</v>
      </c>
      <c r="AK15" s="1781">
        <v>8</v>
      </c>
      <c r="AL15" s="1781">
        <v>8</v>
      </c>
      <c r="AM15" s="1781">
        <v>8</v>
      </c>
      <c r="AN15" s="1781">
        <v>8</v>
      </c>
      <c r="AO15" s="1781">
        <v>8</v>
      </c>
      <c r="AP15" s="1781">
        <v>8</v>
      </c>
      <c r="AQ15" s="1781">
        <v>8</v>
      </c>
      <c r="AR15" s="1781">
        <v>8</v>
      </c>
      <c r="AS15" s="1781">
        <v>8</v>
      </c>
      <c r="AT15" s="1781">
        <v>8</v>
      </c>
      <c r="AU15" s="1781">
        <v>8</v>
      </c>
      <c r="AV15" s="1781">
        <v>8</v>
      </c>
      <c r="AW15" s="1781">
        <v>8</v>
      </c>
      <c r="AX15" s="1781">
        <v>8</v>
      </c>
      <c r="AY15" s="1781">
        <v>8</v>
      </c>
      <c r="AZ15" s="1781">
        <v>8</v>
      </c>
      <c r="BA15" s="1781">
        <v>8</v>
      </c>
      <c r="BB15" s="1781">
        <v>8</v>
      </c>
      <c r="BC15" s="1781">
        <v>8</v>
      </c>
      <c r="BD15" s="1781">
        <v>8</v>
      </c>
      <c r="BE15" s="1781">
        <v>8</v>
      </c>
      <c r="BF15" s="1781">
        <v>8</v>
      </c>
      <c r="BG15" s="1781">
        <v>8</v>
      </c>
      <c r="BH15" s="1781">
        <v>8</v>
      </c>
      <c r="BI15" s="1781">
        <v>8</v>
      </c>
      <c r="BJ15" s="1781">
        <v>8</v>
      </c>
      <c r="BK15" s="1781">
        <v>8</v>
      </c>
      <c r="BL15" s="1781">
        <v>8</v>
      </c>
      <c r="BM15" s="1781">
        <v>8</v>
      </c>
      <c r="BN15" s="1781">
        <v>8</v>
      </c>
      <c r="BO15" s="1781">
        <v>8</v>
      </c>
      <c r="BP15" s="1781">
        <v>8</v>
      </c>
      <c r="BQ15" s="1781">
        <v>8</v>
      </c>
      <c r="BR15" s="1781">
        <v>8</v>
      </c>
      <c r="BS15" s="1781">
        <v>8</v>
      </c>
      <c r="BT15" s="1781">
        <v>8</v>
      </c>
      <c r="BU15" s="1781">
        <v>8</v>
      </c>
      <c r="BV15" s="1781">
        <v>8</v>
      </c>
      <c r="BW15" s="1781">
        <v>8</v>
      </c>
      <c r="BX15" s="1781">
        <v>8</v>
      </c>
      <c r="BY15" s="1781">
        <v>8</v>
      </c>
      <c r="BZ15" s="1781">
        <v>8</v>
      </c>
      <c r="CA15" s="1781">
        <v>8</v>
      </c>
      <c r="CB15" s="1781">
        <v>8</v>
      </c>
      <c r="CC15" s="1781">
        <v>8</v>
      </c>
      <c r="CD15" s="1781">
        <v>8</v>
      </c>
      <c r="CE15" s="1781">
        <v>8</v>
      </c>
      <c r="CF15" s="1781">
        <v>8</v>
      </c>
      <c r="CG15" s="1781">
        <v>8</v>
      </c>
      <c r="CH15" s="1781">
        <v>8</v>
      </c>
      <c r="CI15" s="1781">
        <v>8</v>
      </c>
      <c r="CJ15" s="1781">
        <v>8</v>
      </c>
      <c r="CK15" s="1781">
        <v>8</v>
      </c>
      <c r="CL15" s="1781">
        <v>8</v>
      </c>
      <c r="CM15" s="1781">
        <v>8</v>
      </c>
      <c r="CN15" s="1781">
        <v>8</v>
      </c>
      <c r="CO15" s="1781">
        <v>8</v>
      </c>
      <c r="CP15" s="1781">
        <v>8</v>
      </c>
      <c r="CQ15" s="1781">
        <v>8</v>
      </c>
      <c r="CR15" s="1781">
        <v>8</v>
      </c>
      <c r="CS15" s="1781">
        <v>8</v>
      </c>
      <c r="CT15" s="1781">
        <v>8</v>
      </c>
      <c r="CU15" s="1781">
        <v>8</v>
      </c>
      <c r="CV15" s="1781">
        <v>8</v>
      </c>
      <c r="CW15" s="1781">
        <v>8</v>
      </c>
      <c r="CX15" s="1781">
        <v>8</v>
      </c>
      <c r="CY15" s="1781">
        <v>8</v>
      </c>
      <c r="CZ15" s="1781">
        <v>8</v>
      </c>
      <c r="DA15" s="1781">
        <v>8</v>
      </c>
      <c r="DB15" s="1781">
        <v>8</v>
      </c>
      <c r="DC15" s="1781">
        <v>8</v>
      </c>
      <c r="DD15" s="1781">
        <v>8</v>
      </c>
      <c r="DE15" s="1781">
        <v>8</v>
      </c>
      <c r="DF15" s="1781">
        <v>8</v>
      </c>
      <c r="DG15" s="1781">
        <v>8</v>
      </c>
      <c r="DH15" s="1781">
        <v>8</v>
      </c>
      <c r="DI15" s="1781">
        <v>8</v>
      </c>
      <c r="DJ15" s="1781">
        <v>8</v>
      </c>
      <c r="DK15" s="1781">
        <v>8</v>
      </c>
      <c r="DL15" s="1781">
        <v>8</v>
      </c>
      <c r="DM15" s="1781">
        <v>8</v>
      </c>
      <c r="DN15" s="1781">
        <v>8</v>
      </c>
      <c r="DO15" s="1781">
        <v>8</v>
      </c>
      <c r="DP15" s="1781">
        <v>8</v>
      </c>
      <c r="DQ15" s="1781">
        <v>8</v>
      </c>
      <c r="DR15" s="1781">
        <v>8</v>
      </c>
      <c r="DS15" s="1781">
        <v>8</v>
      </c>
      <c r="DT15" s="1781">
        <v>8</v>
      </c>
      <c r="DU15" s="1781">
        <v>8</v>
      </c>
      <c r="DV15" s="1781">
        <v>8</v>
      </c>
      <c r="DW15" s="1781">
        <v>8</v>
      </c>
      <c r="DX15" s="1781">
        <v>8</v>
      </c>
      <c r="DY15" s="1781">
        <v>8</v>
      </c>
      <c r="DZ15" s="1781">
        <v>8</v>
      </c>
      <c r="EA15" s="1781">
        <v>8</v>
      </c>
      <c r="EB15" s="1781">
        <v>8</v>
      </c>
      <c r="EC15" s="1781">
        <v>8</v>
      </c>
      <c r="ED15" s="1781">
        <v>8</v>
      </c>
      <c r="EE15" s="1781">
        <v>8</v>
      </c>
      <c r="EF15" s="1781">
        <v>8</v>
      </c>
      <c r="EG15" s="1781">
        <v>8</v>
      </c>
      <c r="EH15" s="1781">
        <v>8</v>
      </c>
      <c r="EI15" s="1781">
        <v>8</v>
      </c>
      <c r="EJ15" s="1781">
        <v>8</v>
      </c>
      <c r="EK15" s="1781">
        <v>8</v>
      </c>
      <c r="EL15" s="1781">
        <v>8</v>
      </c>
      <c r="EM15" s="1781">
        <v>8</v>
      </c>
      <c r="EN15" s="1781">
        <v>8</v>
      </c>
      <c r="EO15" s="1781">
        <v>8</v>
      </c>
      <c r="EP15" s="1781">
        <v>8</v>
      </c>
      <c r="EQ15" s="1781">
        <v>8</v>
      </c>
      <c r="ER15" s="1781">
        <v>8</v>
      </c>
      <c r="ES15" s="1781">
        <v>8</v>
      </c>
      <c r="ET15" s="1781">
        <v>8</v>
      </c>
      <c r="EU15" s="1781">
        <v>8</v>
      </c>
      <c r="EV15" s="1781">
        <v>8</v>
      </c>
      <c r="EW15" s="1781">
        <v>8</v>
      </c>
      <c r="EX15" s="1781">
        <v>8</v>
      </c>
      <c r="EY15" s="1781">
        <v>8</v>
      </c>
      <c r="EZ15" s="1781">
        <v>8</v>
      </c>
      <c r="FA15" s="1781">
        <v>8</v>
      </c>
      <c r="FB15" s="1781">
        <v>8</v>
      </c>
      <c r="FC15" s="1781">
        <v>8</v>
      </c>
      <c r="FD15" s="1781">
        <v>8</v>
      </c>
      <c r="FE15" s="1781">
        <v>8</v>
      </c>
      <c r="FF15" s="1781">
        <v>8</v>
      </c>
      <c r="FG15" s="1781">
        <v>8</v>
      </c>
      <c r="FH15" s="1781">
        <v>8</v>
      </c>
      <c r="FI15" s="1781">
        <v>8</v>
      </c>
      <c r="FJ15" s="1781">
        <v>8</v>
      </c>
      <c r="FK15" s="1781">
        <v>8</v>
      </c>
      <c r="FL15" s="1781">
        <v>8</v>
      </c>
      <c r="FM15" s="1781">
        <v>8</v>
      </c>
      <c r="FN15" s="1781">
        <v>8</v>
      </c>
      <c r="FO15" s="1781">
        <v>8</v>
      </c>
      <c r="FP15" s="1781">
        <v>8</v>
      </c>
      <c r="FQ15" s="1781">
        <v>8</v>
      </c>
      <c r="FR15" s="1781">
        <v>8</v>
      </c>
      <c r="FS15" s="1781">
        <v>8</v>
      </c>
      <c r="FT15" s="1781">
        <v>8</v>
      </c>
      <c r="FU15" s="1781">
        <v>8</v>
      </c>
      <c r="FV15" s="1781">
        <v>8</v>
      </c>
      <c r="FW15" s="1781">
        <v>8</v>
      </c>
      <c r="FX15" s="1781">
        <v>8</v>
      </c>
      <c r="FY15" s="1781">
        <v>8</v>
      </c>
      <c r="FZ15" s="1781">
        <v>8</v>
      </c>
      <c r="GA15" s="1781">
        <v>8</v>
      </c>
      <c r="GB15" s="1781">
        <v>8</v>
      </c>
      <c r="GC15" s="1781">
        <v>8</v>
      </c>
      <c r="GD15" s="1781">
        <v>8</v>
      </c>
      <c r="GE15" s="1781">
        <v>8</v>
      </c>
      <c r="GF15" s="1781">
        <v>8</v>
      </c>
      <c r="GG15" s="1781">
        <v>8</v>
      </c>
      <c r="GH15" s="1781">
        <v>8</v>
      </c>
      <c r="GI15" s="1781">
        <v>8</v>
      </c>
      <c r="GJ15" s="1781">
        <v>8</v>
      </c>
      <c r="GK15" s="1781">
        <v>8</v>
      </c>
      <c r="GL15" s="1781">
        <v>8</v>
      </c>
      <c r="GM15" s="1781">
        <v>8</v>
      </c>
      <c r="GN15" s="1781">
        <v>8</v>
      </c>
      <c r="GO15" s="1781">
        <v>8</v>
      </c>
      <c r="GP15" s="1781">
        <v>8</v>
      </c>
      <c r="GQ15" s="1781">
        <v>8</v>
      </c>
      <c r="GR15" s="1781">
        <v>8</v>
      </c>
      <c r="GS15" s="1781">
        <v>8</v>
      </c>
      <c r="GT15" s="1781">
        <v>8</v>
      </c>
      <c r="GU15" s="1781">
        <v>8</v>
      </c>
      <c r="GV15" s="1781">
        <v>8</v>
      </c>
      <c r="GW15" s="1781">
        <v>8</v>
      </c>
      <c r="GX15" s="1781">
        <v>8</v>
      </c>
      <c r="GY15" s="1781">
        <v>8</v>
      </c>
      <c r="GZ15" s="1781">
        <v>8</v>
      </c>
      <c r="HA15" s="1781">
        <v>8</v>
      </c>
      <c r="HB15" s="1781">
        <v>8</v>
      </c>
      <c r="HC15" s="1781">
        <v>8</v>
      </c>
      <c r="HD15" s="1781">
        <v>8</v>
      </c>
      <c r="HE15" s="1781">
        <v>8</v>
      </c>
      <c r="HF15" s="1781">
        <v>8</v>
      </c>
      <c r="HG15" s="1781">
        <v>8</v>
      </c>
      <c r="HH15" s="1781">
        <v>8</v>
      </c>
      <c r="HI15" s="1781">
        <v>8</v>
      </c>
      <c r="HJ15" s="1781">
        <v>8</v>
      </c>
      <c r="HK15" s="1781">
        <v>8</v>
      </c>
      <c r="HL15" s="1781">
        <v>8</v>
      </c>
      <c r="HM15" s="1781">
        <v>8</v>
      </c>
      <c r="HN15" s="1781">
        <v>8</v>
      </c>
      <c r="HO15" s="1781">
        <v>8</v>
      </c>
      <c r="HP15" s="1781">
        <v>8</v>
      </c>
      <c r="HQ15" s="1781">
        <v>8</v>
      </c>
      <c r="HR15" s="1781">
        <v>8</v>
      </c>
      <c r="HS15" s="1781">
        <v>8</v>
      </c>
      <c r="HT15" s="1781">
        <v>8</v>
      </c>
      <c r="HU15" s="1781">
        <v>8</v>
      </c>
      <c r="HV15" s="1781">
        <v>8</v>
      </c>
      <c r="HW15" s="1781">
        <v>8</v>
      </c>
      <c r="HX15" s="1781">
        <v>8</v>
      </c>
      <c r="HY15" s="1781">
        <v>8</v>
      </c>
      <c r="HZ15" s="1781">
        <v>8</v>
      </c>
      <c r="IA15" s="1781">
        <v>8</v>
      </c>
      <c r="IB15" s="1781">
        <v>8</v>
      </c>
      <c r="IC15" s="1781">
        <v>8</v>
      </c>
      <c r="ID15" s="1781">
        <v>8</v>
      </c>
      <c r="IE15" s="1781">
        <v>8</v>
      </c>
      <c r="IF15" s="1781">
        <v>8</v>
      </c>
      <c r="IG15" s="1781">
        <v>8</v>
      </c>
      <c r="IH15" s="1781">
        <v>8</v>
      </c>
      <c r="II15" s="1781">
        <v>8</v>
      </c>
      <c r="IJ15" s="1781">
        <v>8</v>
      </c>
      <c r="IK15" s="1781">
        <v>8</v>
      </c>
      <c r="IL15" s="1781">
        <v>8</v>
      </c>
      <c r="IM15" s="1781">
        <v>8</v>
      </c>
      <c r="IN15" s="1781">
        <v>8</v>
      </c>
      <c r="IO15" s="1781">
        <v>8</v>
      </c>
      <c r="IP15" s="1781">
        <v>8</v>
      </c>
      <c r="IQ15" s="1781">
        <v>8</v>
      </c>
      <c r="IR15" s="1781">
        <v>8</v>
      </c>
      <c r="IS15" s="1781">
        <v>8</v>
      </c>
      <c r="IT15" s="1781">
        <v>8</v>
      </c>
      <c r="IU15" s="1781">
        <v>8</v>
      </c>
      <c r="IV15" s="1781">
        <v>8</v>
      </c>
      <c r="IW15" s="1781">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D738B3-AB0B-CFFC-0B35-3BBC8AD4993A}"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34580" width="9.140625" hidden="1"/>
    <col min="2" max="2" style="34657" width="9.140625" hidden="1"/>
    <col min="3" max="3" style="34580" width="3.7109375" hidden="1" customWidth="1"/>
    <col min="4" max="4" style="34756" width="3.00390625" customWidth="1"/>
    <col min="5" max="5" style="34580" width="6.00390625" customWidth="1"/>
    <col min="6" max="6" style="34580" width="27.00390625" customWidth="1"/>
    <col min="7" max="7" style="34580" width="16.00390625" customWidth="1"/>
    <col min="8" max="8" style="34580" width="12.00390625" customWidth="1"/>
    <col min="9" max="9" style="34580" width="32.00390625" customWidth="1"/>
    <col min="10" max="11" style="34580" width="41.00390625" customWidth="1"/>
    <col min="12" max="12" style="34580" width="89.00390625" customWidth="1"/>
    <col min="13" max="13" style="34757" width="3.00390625" customWidth="1"/>
    <col min="14" max="16" style="34757" width="8.00390625" customWidth="1"/>
    <col min="17" max="17" style="34757" width="25.00390625" customWidth="1"/>
    <col min="18" max="18" style="34757" width="14.00390625" customWidth="1"/>
    <col min="19" max="22" style="34758" width="8.00390625" customWidth="1"/>
    <col min="23" max="256" style="34580" width="8.00390625" customWidth="1"/>
    <col min="257" max="257" style="34580" width="9.140625" hidden="1"/>
  </cols>
  <sheetData>
    <row customHeight="1" ht="22.5" hidden="1">
      <c r="IW1" s="2257" t="s">
        <v>14</v>
      </c>
    </row>
    <row s="34718" customFormat="1" customHeight="1" ht="22.5" hidden="1">
      <c r="A2" s="1457"/>
      <c r="B2" s="1992">
        <v>1</v>
      </c>
      <c r="C2" s="1992"/>
      <c r="D2" s="2554" t="s">
        <v>103</v>
      </c>
      <c r="E2" s="2530"/>
      <c r="F2" s="2532" t="str">
        <f>IF(ROIV_INFO_NAME="","",ROIV_INFO_NAME)</f>
        <v>АО "ДГК"</v>
      </c>
      <c r="G2" s="2358" t="s">
        <v>22</v>
      </c>
      <c r="H2" s="2542"/>
      <c r="I2" s="2164"/>
      <c r="J2" s="1444"/>
      <c r="K2" s="1444"/>
      <c r="L2" s="854"/>
      <c r="M2" s="2161">
        <f>MERGEVALUE(F2)</f>
      </c>
      <c r="N2" s="2262"/>
      <c r="O2" s="2262"/>
      <c r="P2" s="2250" t="str">
        <f t="array" ref="P2:P2">IF(ISERROR(MATCH(MID(Q2,1,250),MID(note_ter,1,250),0)),"n","y")</f>
        <v>n</v>
      </c>
      <c r="Q2" s="2262"/>
      <c r="R2" s="2250" t="str">
        <f>G2&amp;"("&amp;L2&amp;")"</f>
        <v>()</v>
      </c>
      <c r="S2" s="1992"/>
      <c r="T2" s="1992"/>
      <c r="U2" s="1046"/>
      <c r="V2" s="1992"/>
      <c r="W2" s="1992"/>
      <c r="X2" s="1992"/>
      <c r="Y2" s="1459"/>
      <c r="Z2" s="1459"/>
      <c r="AA2" s="1253"/>
      <c r="AB2" s="1253"/>
      <c r="AC2" s="1253"/>
      <c r="AD2" s="1253"/>
      <c r="AE2" s="1253"/>
      <c r="AF2" s="1253"/>
      <c r="AG2" s="1253"/>
      <c r="AH2" s="1253"/>
      <c r="AI2" s="1253"/>
      <c r="AJ2" s="1253"/>
      <c r="AK2" s="1253"/>
      <c r="AL2" s="1253"/>
      <c r="AM2" s="1253"/>
      <c r="AN2" s="1253"/>
      <c r="AO2" s="1253"/>
      <c r="AP2" s="1253"/>
      <c r="AQ2" s="1253"/>
      <c r="AR2" s="1253"/>
      <c r="AS2" s="1253"/>
      <c r="AT2" s="1253"/>
      <c r="AU2" s="1253"/>
      <c r="AV2" s="1253"/>
      <c r="AW2" s="1253"/>
      <c r="AX2" s="1253"/>
      <c r="AY2" s="1253"/>
      <c r="AZ2" s="1253"/>
      <c r="BA2" s="1253"/>
      <c r="BB2" s="1253"/>
      <c r="BC2" s="1253"/>
      <c r="BD2" s="1253"/>
      <c r="BE2" s="1253"/>
      <c r="BF2" s="1253"/>
      <c r="BG2" s="1253"/>
      <c r="BH2" s="1253"/>
      <c r="BI2" s="1253"/>
      <c r="BJ2" s="1253"/>
      <c r="BK2" s="1253"/>
      <c r="BL2" s="1253"/>
      <c r="BM2" s="1253"/>
      <c r="BN2" s="1253"/>
      <c r="BO2" s="1253"/>
      <c r="BP2" s="1253"/>
      <c r="BQ2" s="1253"/>
      <c r="BR2" s="1253"/>
      <c r="BS2" s="1253"/>
      <c r="BT2" s="1253"/>
      <c r="BU2" s="1253"/>
      <c r="BV2" s="1459"/>
      <c r="BW2" s="1459"/>
      <c r="BX2" s="1459"/>
      <c r="BY2" s="1459"/>
      <c r="BZ2" s="1459"/>
      <c r="CA2" s="1459"/>
      <c r="CB2" s="1459"/>
      <c r="CC2" s="1459"/>
      <c r="CD2" s="1459"/>
      <c r="CE2" s="1459"/>
      <c r="IW2" s="1250">
        <v>0</v>
      </c>
    </row>
    <row s="34658" customFormat="1" customHeight="1" ht="5.25" hidden="1">
      <c r="A3" s="2267"/>
      <c r="D3" s="2519"/>
      <c r="F3" s="874" t="s">
        <v>83</v>
      </c>
      <c r="G3" s="2361" t="s">
        <v>84</v>
      </c>
      <c r="H3" s="2519"/>
      <c r="I3" s="2519"/>
      <c r="J3" s="2519"/>
      <c r="K3" s="2519"/>
      <c r="L3" s="853" t="s">
        <v>85</v>
      </c>
      <c r="M3" s="874" t="s">
        <v>83</v>
      </c>
      <c r="N3" s="874"/>
      <c r="O3" s="874"/>
      <c r="P3" s="874"/>
      <c r="Q3" s="874"/>
      <c r="R3" s="874"/>
      <c r="S3" s="874"/>
      <c r="T3" s="874"/>
      <c r="U3" s="874"/>
      <c r="V3" s="874"/>
      <c r="W3" s="853"/>
      <c r="X3" s="853"/>
      <c r="Y3" s="853"/>
      <c r="Z3" s="853"/>
      <c r="AA3" s="853"/>
      <c r="AB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FX3" s="853"/>
      <c r="FY3" s="853"/>
      <c r="FZ3" s="853"/>
      <c r="GA3" s="853"/>
      <c r="GB3" s="853"/>
      <c r="GC3" s="853"/>
      <c r="GD3" s="853"/>
      <c r="GE3" s="853"/>
      <c r="GF3" s="853"/>
      <c r="GG3" s="853"/>
      <c r="GH3" s="853"/>
      <c r="GI3" s="853"/>
      <c r="GJ3" s="853"/>
      <c r="GK3" s="853"/>
      <c r="GL3" s="853"/>
      <c r="GM3" s="853"/>
      <c r="GN3" s="853"/>
      <c r="GO3" s="853"/>
      <c r="GP3" s="853"/>
      <c r="GQ3" s="853"/>
      <c r="GR3" s="853"/>
      <c r="GS3" s="853"/>
      <c r="GT3" s="853"/>
      <c r="GU3" s="853"/>
      <c r="GV3" s="853"/>
      <c r="GW3" s="853"/>
      <c r="GX3" s="853"/>
      <c r="GY3" s="853"/>
      <c r="GZ3" s="853"/>
      <c r="HA3" s="853"/>
      <c r="HB3" s="853"/>
      <c r="HC3" s="853"/>
      <c r="HD3" s="853"/>
      <c r="HE3" s="853"/>
      <c r="HF3" s="853"/>
      <c r="HG3" s="853"/>
      <c r="HH3" s="853"/>
      <c r="HI3" s="853"/>
      <c r="HJ3" s="853"/>
      <c r="HK3" s="853"/>
      <c r="HL3" s="853"/>
      <c r="HM3" s="853"/>
      <c r="HN3" s="853"/>
      <c r="HO3" s="853"/>
      <c r="HP3" s="853"/>
      <c r="HQ3" s="853"/>
      <c r="HR3" s="853"/>
      <c r="HS3" s="853"/>
      <c r="HT3" s="853"/>
      <c r="HU3" s="853"/>
      <c r="HV3" s="853"/>
      <c r="HW3" s="853"/>
      <c r="HX3" s="853"/>
      <c r="HY3" s="853"/>
      <c r="HZ3" s="853"/>
      <c r="IA3" s="853"/>
      <c r="IB3" s="853"/>
      <c r="IC3" s="853"/>
      <c r="ID3" s="853"/>
      <c r="IE3" s="853"/>
      <c r="IF3" s="853"/>
      <c r="IG3" s="853"/>
      <c r="IH3" s="853"/>
      <c r="II3" s="853"/>
      <c r="IJ3" s="853"/>
      <c r="IK3" s="853"/>
      <c r="IL3" s="853"/>
      <c r="IM3" s="853"/>
      <c r="IN3" s="853"/>
      <c r="IO3" s="853"/>
      <c r="IP3" s="853"/>
      <c r="IQ3" s="853"/>
      <c r="IR3" s="853"/>
      <c r="IS3" s="853"/>
      <c r="IT3" s="853"/>
      <c r="IU3" s="853"/>
      <c r="IV3" s="853"/>
      <c r="IW3" s="2262">
        <v>0</v>
      </c>
    </row>
    <row s="34673" customFormat="1" customHeight="1" ht="14.699999999999998">
      <c r="A4" s="2257"/>
      <c r="B4" s="1992"/>
      <c r="C4" s="2257"/>
      <c r="D4" s="2141"/>
      <c r="E4" s="2261"/>
      <c r="F4" s="2261"/>
      <c r="G4" s="2261"/>
      <c r="H4" s="2261"/>
      <c r="I4" s="2261"/>
      <c r="J4" s="2261"/>
      <c r="K4" s="2261"/>
      <c r="L4" s="2521"/>
      <c r="M4" s="874"/>
      <c r="N4" s="2250"/>
      <c r="O4" s="2250"/>
      <c r="P4" s="2250"/>
      <c r="Q4" s="2250"/>
      <c r="R4" s="2250"/>
      <c r="S4" s="851"/>
      <c r="T4" s="851"/>
      <c r="U4" s="851"/>
      <c r="V4" s="851"/>
      <c r="IW4" s="2235">
        <v>14</v>
      </c>
    </row>
    <row s="34673" customFormat="1" customHeight="1" ht="27.299999999999997">
      <c r="A5" s="2257"/>
      <c r="B5" s="1992"/>
      <c r="C5" s="2257"/>
      <c r="D5" s="2141"/>
      <c r="E5" s="272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26"/>
      <c r="G5" s="2726"/>
      <c r="H5" s="2726"/>
      <c r="I5" s="2726"/>
      <c r="J5" s="2726"/>
      <c r="K5" s="2726"/>
      <c r="L5" s="2261"/>
      <c r="M5" s="874"/>
      <c r="N5" s="2250"/>
      <c r="O5" s="2250"/>
      <c r="P5" s="2250"/>
      <c r="Q5" s="2250"/>
      <c r="R5" s="2250"/>
      <c r="S5" s="851"/>
      <c r="T5" s="851"/>
      <c r="U5" s="851"/>
      <c r="V5" s="851"/>
      <c r="IW5" s="2235">
        <v>26</v>
      </c>
    </row>
    <row s="34673" customFormat="1" customHeight="1" ht="14.699999999999998">
      <c r="A6" s="2257"/>
      <c r="B6" s="1992"/>
      <c r="C6" s="2257"/>
      <c r="D6" s="2141"/>
      <c r="E6" s="2261"/>
      <c r="F6" s="1242"/>
      <c r="G6" s="1242"/>
      <c r="H6" s="1242"/>
      <c r="I6" s="1242"/>
      <c r="J6" s="1242"/>
      <c r="K6" s="1242"/>
      <c r="L6" s="1878"/>
      <c r="M6" s="2250"/>
      <c r="N6" s="2250"/>
      <c r="O6" s="2250"/>
      <c r="P6" s="2250"/>
      <c r="Q6" s="2250"/>
      <c r="R6" s="2250"/>
      <c r="S6" s="851"/>
      <c r="T6" s="851"/>
      <c r="U6" s="851"/>
      <c r="V6" s="851"/>
      <c r="IW6" s="2235">
        <v>14</v>
      </c>
    </row>
    <row s="34673" customFormat="1" customHeight="1" ht="14.699999999999998">
      <c r="A7" s="2257"/>
      <c r="B7" s="1992"/>
      <c r="C7" s="2257"/>
      <c r="D7" s="2141"/>
      <c r="E7" s="2727" t="s">
        <v>318</v>
      </c>
      <c r="F7" s="2728"/>
      <c r="G7" s="2728"/>
      <c r="H7" s="2728"/>
      <c r="I7" s="2728"/>
      <c r="J7" s="2728"/>
      <c r="K7" s="2728"/>
      <c r="L7" s="3100" t="s">
        <v>319</v>
      </c>
      <c r="M7" s="2250"/>
      <c r="N7" s="2250"/>
      <c r="O7" s="2250"/>
      <c r="P7" s="2250"/>
      <c r="Q7" s="2250"/>
      <c r="R7" s="2250"/>
      <c r="S7" s="851"/>
      <c r="T7" s="851"/>
      <c r="U7" s="851"/>
      <c r="V7" s="851"/>
      <c r="IW7" s="2235">
        <v>14</v>
      </c>
    </row>
    <row s="34673" customFormat="1" customHeight="1" ht="67.2">
      <c r="A8" s="2257"/>
      <c r="B8" s="1992"/>
      <c r="C8" s="2257"/>
      <c r="D8" s="2141"/>
      <c r="E8" s="3104" t="s">
        <v>88</v>
      </c>
      <c r="F8" s="3104" t="s">
        <v>2060</v>
      </c>
      <c r="G8" s="3106" t="s">
        <v>2061</v>
      </c>
      <c r="H8" s="3107"/>
      <c r="I8" s="3108"/>
      <c r="J8" s="3104" t="s">
        <v>2062</v>
      </c>
      <c r="K8" s="31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02"/>
      <c r="M8" s="2250"/>
      <c r="N8" s="2250"/>
      <c r="O8" s="2250"/>
      <c r="P8" s="2250"/>
      <c r="Q8" s="2250"/>
      <c r="R8" s="2250"/>
      <c r="S8" s="851"/>
      <c r="T8" s="851"/>
      <c r="U8" s="851"/>
      <c r="V8" s="851"/>
      <c r="IW8" s="2235">
        <v>64</v>
      </c>
    </row>
    <row s="34673" customFormat="1" customHeight="1" ht="29.25">
      <c r="A9" s="2257"/>
      <c r="B9" s="1992"/>
      <c r="C9" s="2257"/>
      <c r="D9" s="2141"/>
      <c r="E9" s="3105"/>
      <c r="F9" s="3105"/>
      <c r="G9" s="2520" t="s">
        <v>2056</v>
      </c>
      <c r="H9" s="2520" t="s">
        <v>2057</v>
      </c>
      <c r="I9" s="2520" t="s">
        <v>2058</v>
      </c>
      <c r="J9" s="3105"/>
      <c r="K9" s="3105"/>
      <c r="L9" s="3101"/>
      <c r="M9" s="2250"/>
      <c r="N9" s="2250"/>
      <c r="O9" s="2250"/>
      <c r="P9" s="2250"/>
      <c r="Q9" s="2250"/>
      <c r="R9" s="2250"/>
      <c r="S9" s="851"/>
      <c r="T9" s="851"/>
      <c r="U9" s="851"/>
      <c r="V9" s="851"/>
      <c r="IW9" s="2235">
        <v>28</v>
      </c>
    </row>
    <row s="34718" customFormat="1" customHeight="1" ht="1.05">
      <c r="A10" s="2725"/>
      <c r="B10" s="1992">
        <v>1</v>
      </c>
      <c r="C10" s="1992"/>
      <c r="D10" s="1426"/>
      <c r="E10" s="1421">
        <v>0</v>
      </c>
      <c r="F10" s="2517" t="str">
        <f>IF(ROIV_INFO_NAME="","",ROIV_INFO_NAME)</f>
        <v>АО "ДГК"</v>
      </c>
      <c r="G10" s="2359" t="s">
        <v>22</v>
      </c>
      <c r="H10" s="2529"/>
      <c r="I10" s="2529"/>
      <c r="J10" s="1145"/>
      <c r="K10" s="1145"/>
      <c r="L10" s="305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161">
        <f>MERGEVALUE(F10)</f>
      </c>
      <c r="N10" s="2262"/>
      <c r="O10" s="2262"/>
      <c r="P10" s="2250" t="str">
        <f t="array" ref="P10:P10">IF(ISERROR(MATCH(MID(Q10,1,250),MID(note_ter,1,250),0)),"n","y")</f>
        <v>n</v>
      </c>
      <c r="Q10" s="2262"/>
      <c r="R10" s="22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992"/>
      <c r="T10" s="1992"/>
      <c r="U10" s="1046"/>
      <c r="V10" s="1992"/>
      <c r="W10" s="1992"/>
      <c r="X10" s="1992"/>
      <c r="Y10" s="1459"/>
      <c r="Z10" s="1459"/>
      <c r="AA10" s="1253"/>
      <c r="AB10" s="1253"/>
      <c r="AC10" s="1253"/>
      <c r="AD10" s="1253"/>
      <c r="AE10" s="1253"/>
      <c r="AF10" s="1253"/>
      <c r="AG10" s="1253"/>
      <c r="AH10" s="1253"/>
      <c r="AI10" s="1253"/>
      <c r="AJ10" s="1253"/>
      <c r="AK10" s="1253"/>
      <c r="AL10" s="1253"/>
      <c r="AM10" s="1253"/>
      <c r="AN10" s="1253"/>
      <c r="AO10" s="1253"/>
      <c r="AP10" s="1253"/>
      <c r="AQ10" s="1253"/>
      <c r="AR10" s="1253"/>
      <c r="AS10" s="1253"/>
      <c r="AT10" s="1253"/>
      <c r="AU10" s="1253"/>
      <c r="AV10" s="1253"/>
      <c r="AW10" s="1253"/>
      <c r="AX10" s="1253"/>
      <c r="AY10" s="1253"/>
      <c r="AZ10" s="1253"/>
      <c r="BA10" s="1253"/>
      <c r="BB10" s="1253"/>
      <c r="BC10" s="1253"/>
      <c r="BD10" s="1253"/>
      <c r="BE10" s="1253"/>
      <c r="BF10" s="1253"/>
      <c r="BG10" s="1253"/>
      <c r="BH10" s="1253"/>
      <c r="BI10" s="1253"/>
      <c r="BJ10" s="1253"/>
      <c r="BK10" s="1253"/>
      <c r="BL10" s="1253"/>
      <c r="BM10" s="1253"/>
      <c r="BN10" s="1253"/>
      <c r="BO10" s="1253"/>
      <c r="BP10" s="1253"/>
      <c r="BQ10" s="1253"/>
      <c r="BR10" s="1253"/>
      <c r="BS10" s="1253"/>
      <c r="BT10" s="1253"/>
      <c r="BU10" s="1253"/>
      <c r="BV10" s="1459"/>
      <c r="BW10" s="1459"/>
      <c r="BX10" s="1459"/>
      <c r="BY10" s="1459"/>
      <c r="BZ10" s="1459"/>
      <c r="CA10" s="1459"/>
      <c r="CB10" s="1459"/>
      <c r="CC10" s="1459"/>
      <c r="CD10" s="1459"/>
      <c r="CE10" s="1459"/>
      <c r="IW10" s="1250">
        <v>1</v>
      </c>
    </row>
    <row s="34718" customFormat="1" customHeight="1" ht="15.75">
      <c r="A11" s="2725"/>
      <c r="B11" s="1992"/>
      <c r="C11" s="1038"/>
      <c r="D11" s="1427"/>
      <c r="E11" s="1047"/>
      <c r="F11" s="1277" t="s">
        <v>2059</v>
      </c>
      <c r="G11" s="813"/>
      <c r="H11" s="813"/>
      <c r="I11" s="813"/>
      <c r="J11" s="813"/>
      <c r="K11" s="1050"/>
      <c r="L11" s="3103"/>
      <c r="M11" s="2162"/>
      <c r="N11" s="2262"/>
      <c r="O11" s="2262"/>
      <c r="P11" s="2262"/>
      <c r="Q11" s="2250"/>
      <c r="R11" s="2262"/>
      <c r="S11" s="1992"/>
      <c r="T11" s="1992"/>
      <c r="U11" s="1046"/>
      <c r="V11" s="1992"/>
      <c r="W11" s="1992"/>
      <c r="X11" s="1992"/>
      <c r="Y11" s="1459"/>
      <c r="Z11" s="1459"/>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1253"/>
      <c r="BH11" s="1253"/>
      <c r="BI11" s="1253"/>
      <c r="BJ11" s="1253"/>
      <c r="BK11" s="1253"/>
      <c r="BL11" s="1253"/>
      <c r="BM11" s="1253"/>
      <c r="BN11" s="1253"/>
      <c r="BO11" s="1253"/>
      <c r="BP11" s="1253"/>
      <c r="BQ11" s="1253"/>
      <c r="BR11" s="1253"/>
      <c r="BS11" s="1253"/>
      <c r="BT11" s="1253"/>
      <c r="BU11" s="1253"/>
      <c r="BV11" s="1459"/>
      <c r="BW11" s="1459"/>
      <c r="BX11" s="1459"/>
      <c r="BY11" s="1459"/>
      <c r="BZ11" s="1459"/>
      <c r="CA11" s="1459"/>
      <c r="CB11" s="1459"/>
      <c r="CC11" s="1459"/>
      <c r="CD11" s="1459"/>
      <c r="CE11" s="1459"/>
      <c r="IW11" s="1250">
        <v>15</v>
      </c>
    </row>
    <row s="34673" customFormat="1" customHeight="1" ht="22.049999999999997">
      <c r="A12" s="2257"/>
      <c r="B12" s="1992"/>
      <c r="C12" s="2257"/>
      <c r="D12" s="2259"/>
      <c r="E12" s="806"/>
      <c r="F12" s="806"/>
      <c r="G12" s="806"/>
      <c r="H12" s="806"/>
      <c r="I12" s="806"/>
      <c r="J12" s="806"/>
      <c r="K12" s="806"/>
      <c r="L12" s="806"/>
      <c r="M12" s="2250"/>
      <c r="N12" s="2250"/>
      <c r="O12" s="2250"/>
      <c r="P12" s="2250"/>
      <c r="Q12" s="2250"/>
      <c r="R12" s="2250"/>
      <c r="S12" s="851"/>
      <c r="T12" s="851"/>
      <c r="U12" s="851"/>
      <c r="V12" s="851"/>
      <c r="IW12" s="2235">
        <v>21</v>
      </c>
    </row>
    <row s="34673" customFormat="1" customHeight="1" ht="14.699999999999998">
      <c r="A13" s="2257"/>
      <c r="B13" s="1992"/>
      <c r="C13" s="2257"/>
      <c r="D13" s="2259"/>
      <c r="E13" s="2257"/>
      <c r="F13" s="2257"/>
      <c r="G13" s="2257"/>
      <c r="H13" s="2257"/>
      <c r="I13" s="2257"/>
      <c r="J13" s="2257"/>
      <c r="K13" s="2257"/>
      <c r="L13" s="2257"/>
      <c r="M13" s="2250"/>
      <c r="N13" s="2250"/>
      <c r="O13" s="2250"/>
      <c r="P13" s="2250"/>
      <c r="Q13" s="2250"/>
      <c r="R13" s="2250"/>
      <c r="S13" s="851"/>
      <c r="T13" s="851"/>
      <c r="U13" s="851"/>
      <c r="V13" s="851"/>
      <c r="IW13" s="2235">
        <v>14</v>
      </c>
    </row>
    <row s="34673" customFormat="1" customHeight="1" ht="1.05">
      <c r="A14" s="2257"/>
      <c r="B14" s="1992"/>
      <c r="C14" s="2257"/>
      <c r="D14" s="2259"/>
      <c r="E14" s="2257"/>
      <c r="F14" s="2257"/>
      <c r="G14" s="2257"/>
      <c r="H14" s="2257"/>
      <c r="I14" s="2257"/>
      <c r="J14" s="2257"/>
      <c r="K14" s="2257"/>
      <c r="L14" s="2257"/>
      <c r="M14" s="2250"/>
      <c r="N14" s="2250"/>
      <c r="O14" s="2250"/>
      <c r="P14" s="2250"/>
      <c r="Q14" s="2250"/>
      <c r="R14" s="2250"/>
      <c r="S14" s="851"/>
      <c r="T14" s="851"/>
      <c r="U14" s="851"/>
      <c r="V14" s="851"/>
      <c r="IW14" s="2235">
        <v>1</v>
      </c>
    </row>
    <row customHeight="1" ht="22.5" hidden="1">
      <c r="A15" s="2257" t="s">
        <v>82</v>
      </c>
      <c r="B15" s="1992">
        <v>0</v>
      </c>
      <c r="C15" s="2257">
        <v>0</v>
      </c>
      <c r="D15" s="2259">
        <v>3</v>
      </c>
      <c r="E15" s="2257">
        <v>6</v>
      </c>
      <c r="F15" s="2257">
        <v>27</v>
      </c>
      <c r="G15" s="2257">
        <v>16</v>
      </c>
      <c r="H15" s="2257">
        <v>12</v>
      </c>
      <c r="I15" s="2257">
        <v>32</v>
      </c>
      <c r="J15" s="2257">
        <v>41</v>
      </c>
      <c r="K15" s="2257">
        <v>41</v>
      </c>
      <c r="L15" s="2257">
        <v>89</v>
      </c>
      <c r="M15" s="2250">
        <v>3</v>
      </c>
      <c r="N15" s="2250">
        <v>8</v>
      </c>
      <c r="O15" s="2250">
        <v>8</v>
      </c>
      <c r="P15" s="2250">
        <v>8</v>
      </c>
      <c r="Q15" s="2250">
        <v>25</v>
      </c>
      <c r="R15" s="2250">
        <v>14</v>
      </c>
      <c r="S15" s="851">
        <v>8</v>
      </c>
      <c r="T15" s="851">
        <v>8</v>
      </c>
      <c r="U15" s="851">
        <v>8</v>
      </c>
      <c r="V15" s="851">
        <v>8</v>
      </c>
      <c r="W15" s="2257">
        <v>8</v>
      </c>
      <c r="X15" s="2257">
        <v>8</v>
      </c>
      <c r="Y15" s="2257">
        <v>8</v>
      </c>
      <c r="Z15" s="2257">
        <v>8</v>
      </c>
      <c r="AA15" s="2257">
        <v>8</v>
      </c>
      <c r="AB15" s="2257">
        <v>8</v>
      </c>
      <c r="AC15" s="2257">
        <v>8</v>
      </c>
      <c r="AD15" s="2257">
        <v>8</v>
      </c>
      <c r="AE15" s="2257">
        <v>8</v>
      </c>
      <c r="AF15" s="2257">
        <v>8</v>
      </c>
      <c r="AG15" s="2257">
        <v>8</v>
      </c>
      <c r="AH15" s="2257">
        <v>8</v>
      </c>
      <c r="AI15" s="2257">
        <v>8</v>
      </c>
      <c r="AJ15" s="2257">
        <v>8</v>
      </c>
      <c r="AK15" s="2257">
        <v>8</v>
      </c>
      <c r="AL15" s="2257">
        <v>8</v>
      </c>
      <c r="AM15" s="2257">
        <v>8</v>
      </c>
      <c r="AN15" s="2257">
        <v>8</v>
      </c>
      <c r="AO15" s="2257">
        <v>8</v>
      </c>
      <c r="AP15" s="2257">
        <v>8</v>
      </c>
      <c r="AQ15" s="2257">
        <v>8</v>
      </c>
      <c r="AR15" s="2257">
        <v>8</v>
      </c>
      <c r="AS15" s="2257">
        <v>8</v>
      </c>
      <c r="AT15" s="2257">
        <v>8</v>
      </c>
      <c r="AU15" s="2257">
        <v>8</v>
      </c>
      <c r="AV15" s="2257">
        <v>8</v>
      </c>
      <c r="AW15" s="2257">
        <v>8</v>
      </c>
      <c r="AX15" s="2257">
        <v>8</v>
      </c>
      <c r="AY15" s="2257">
        <v>8</v>
      </c>
      <c r="AZ15" s="2257">
        <v>8</v>
      </c>
      <c r="BA15" s="2257">
        <v>8</v>
      </c>
      <c r="BB15" s="2257">
        <v>8</v>
      </c>
      <c r="BC15" s="2257">
        <v>8</v>
      </c>
      <c r="BD15" s="2257">
        <v>8</v>
      </c>
      <c r="BE15" s="2257">
        <v>8</v>
      </c>
      <c r="BF15" s="2257">
        <v>8</v>
      </c>
      <c r="BG15" s="2257">
        <v>8</v>
      </c>
      <c r="BH15" s="2257">
        <v>8</v>
      </c>
      <c r="BI15" s="2257">
        <v>8</v>
      </c>
      <c r="BJ15" s="2257">
        <v>8</v>
      </c>
      <c r="BK15" s="2257">
        <v>8</v>
      </c>
      <c r="BL15" s="2257">
        <v>8</v>
      </c>
      <c r="BM15" s="2257">
        <v>8</v>
      </c>
      <c r="BN15" s="2257">
        <v>8</v>
      </c>
      <c r="BO15" s="2257">
        <v>8</v>
      </c>
      <c r="BP15" s="2257">
        <v>8</v>
      </c>
      <c r="BQ15" s="2257">
        <v>8</v>
      </c>
      <c r="BR15" s="2257">
        <v>8</v>
      </c>
      <c r="BS15" s="2257">
        <v>8</v>
      </c>
      <c r="BT15" s="2257">
        <v>8</v>
      </c>
      <c r="BU15" s="2257">
        <v>8</v>
      </c>
      <c r="BV15" s="2257">
        <v>8</v>
      </c>
      <c r="BW15" s="2257">
        <v>8</v>
      </c>
      <c r="BX15" s="2257">
        <v>8</v>
      </c>
      <c r="BY15" s="2257">
        <v>8</v>
      </c>
      <c r="BZ15" s="2257">
        <v>8</v>
      </c>
      <c r="CA15" s="2257">
        <v>8</v>
      </c>
      <c r="CB15" s="2257">
        <v>8</v>
      </c>
      <c r="CC15" s="2257">
        <v>8</v>
      </c>
      <c r="CD15" s="2257">
        <v>8</v>
      </c>
      <c r="CE15" s="2257">
        <v>8</v>
      </c>
      <c r="CF15" s="2257">
        <v>8</v>
      </c>
      <c r="CG15" s="2257">
        <v>8</v>
      </c>
      <c r="CH15" s="2257">
        <v>8</v>
      </c>
      <c r="CI15" s="2257">
        <v>8</v>
      </c>
      <c r="CJ15" s="2257">
        <v>8</v>
      </c>
      <c r="CK15" s="2257">
        <v>8</v>
      </c>
      <c r="CL15" s="2257">
        <v>8</v>
      </c>
      <c r="CM15" s="2257">
        <v>8</v>
      </c>
      <c r="CN15" s="2257">
        <v>8</v>
      </c>
      <c r="CO15" s="2257">
        <v>8</v>
      </c>
      <c r="CP15" s="2257">
        <v>8</v>
      </c>
      <c r="CQ15" s="2257">
        <v>8</v>
      </c>
      <c r="CR15" s="2257">
        <v>8</v>
      </c>
      <c r="CS15" s="2257">
        <v>8</v>
      </c>
      <c r="CT15" s="2257">
        <v>8</v>
      </c>
      <c r="CU15" s="2257">
        <v>8</v>
      </c>
      <c r="CV15" s="2257">
        <v>8</v>
      </c>
      <c r="CW15" s="2257">
        <v>8</v>
      </c>
      <c r="CX15" s="2257">
        <v>8</v>
      </c>
      <c r="CY15" s="2257">
        <v>8</v>
      </c>
      <c r="CZ15" s="2257">
        <v>8</v>
      </c>
      <c r="DA15" s="2257">
        <v>8</v>
      </c>
      <c r="DB15" s="2257">
        <v>8</v>
      </c>
      <c r="DC15" s="2257">
        <v>8</v>
      </c>
      <c r="DD15" s="2257">
        <v>8</v>
      </c>
      <c r="DE15" s="2257">
        <v>8</v>
      </c>
      <c r="DF15" s="2257">
        <v>8</v>
      </c>
      <c r="DG15" s="2257">
        <v>8</v>
      </c>
      <c r="DH15" s="2257">
        <v>8</v>
      </c>
      <c r="DI15" s="2257">
        <v>8</v>
      </c>
      <c r="DJ15" s="2257">
        <v>8</v>
      </c>
      <c r="DK15" s="2257">
        <v>8</v>
      </c>
      <c r="DL15" s="2257">
        <v>8</v>
      </c>
      <c r="DM15" s="2257">
        <v>8</v>
      </c>
      <c r="DN15" s="2257">
        <v>8</v>
      </c>
      <c r="DO15" s="2257">
        <v>8</v>
      </c>
      <c r="DP15" s="2257">
        <v>8</v>
      </c>
      <c r="DQ15" s="2257">
        <v>8</v>
      </c>
      <c r="DR15" s="2257">
        <v>8</v>
      </c>
      <c r="DS15" s="2257">
        <v>8</v>
      </c>
      <c r="DT15" s="2257">
        <v>8</v>
      </c>
      <c r="DU15" s="2257">
        <v>8</v>
      </c>
      <c r="DV15" s="2257">
        <v>8</v>
      </c>
      <c r="DW15" s="2257">
        <v>8</v>
      </c>
      <c r="DX15" s="2257">
        <v>8</v>
      </c>
      <c r="DY15" s="2257">
        <v>8</v>
      </c>
      <c r="DZ15" s="2257">
        <v>8</v>
      </c>
      <c r="EA15" s="2257">
        <v>8</v>
      </c>
      <c r="EB15" s="2257">
        <v>8</v>
      </c>
      <c r="EC15" s="2257">
        <v>8</v>
      </c>
      <c r="ED15" s="2257">
        <v>8</v>
      </c>
      <c r="EE15" s="2257">
        <v>8</v>
      </c>
      <c r="EF15" s="2257">
        <v>8</v>
      </c>
      <c r="EG15" s="2257">
        <v>8</v>
      </c>
      <c r="EH15" s="2257">
        <v>8</v>
      </c>
      <c r="EI15" s="2257">
        <v>8</v>
      </c>
      <c r="EJ15" s="2257">
        <v>8</v>
      </c>
      <c r="EK15" s="2257">
        <v>8</v>
      </c>
      <c r="EL15" s="2257">
        <v>8</v>
      </c>
      <c r="EM15" s="2257">
        <v>8</v>
      </c>
      <c r="EN15" s="2257">
        <v>8</v>
      </c>
      <c r="EO15" s="2257">
        <v>8</v>
      </c>
      <c r="EP15" s="2257">
        <v>8</v>
      </c>
      <c r="EQ15" s="2257">
        <v>8</v>
      </c>
      <c r="ER15" s="2257">
        <v>8</v>
      </c>
      <c r="ES15" s="2257">
        <v>8</v>
      </c>
      <c r="ET15" s="2257">
        <v>8</v>
      </c>
      <c r="EU15" s="2257">
        <v>8</v>
      </c>
      <c r="EV15" s="2257">
        <v>8</v>
      </c>
      <c r="EW15" s="2257">
        <v>8</v>
      </c>
      <c r="EX15" s="2257">
        <v>8</v>
      </c>
      <c r="EY15" s="2257">
        <v>8</v>
      </c>
      <c r="EZ15" s="2257">
        <v>8</v>
      </c>
      <c r="FA15" s="2257">
        <v>8</v>
      </c>
      <c r="FB15" s="2257">
        <v>8</v>
      </c>
      <c r="FC15" s="2257">
        <v>8</v>
      </c>
      <c r="FD15" s="2257">
        <v>8</v>
      </c>
      <c r="FE15" s="2257">
        <v>8</v>
      </c>
      <c r="FF15" s="2257">
        <v>8</v>
      </c>
      <c r="FG15" s="2257">
        <v>8</v>
      </c>
      <c r="FH15" s="2257">
        <v>8</v>
      </c>
      <c r="FI15" s="2257">
        <v>8</v>
      </c>
      <c r="FJ15" s="2257">
        <v>8</v>
      </c>
      <c r="FK15" s="2257">
        <v>8</v>
      </c>
      <c r="FL15" s="2257">
        <v>8</v>
      </c>
      <c r="FM15" s="2257">
        <v>8</v>
      </c>
      <c r="FN15" s="2257">
        <v>8</v>
      </c>
      <c r="FO15" s="2257">
        <v>8</v>
      </c>
      <c r="FP15" s="2257">
        <v>8</v>
      </c>
      <c r="FQ15" s="2257">
        <v>8</v>
      </c>
      <c r="FR15" s="2257">
        <v>8</v>
      </c>
      <c r="FS15" s="2257">
        <v>8</v>
      </c>
      <c r="FT15" s="2257">
        <v>8</v>
      </c>
      <c r="FU15" s="2257">
        <v>8</v>
      </c>
      <c r="FV15" s="2257">
        <v>8</v>
      </c>
      <c r="FW15" s="2257">
        <v>8</v>
      </c>
      <c r="FX15" s="2257">
        <v>8</v>
      </c>
      <c r="FY15" s="2257">
        <v>8</v>
      </c>
      <c r="FZ15" s="2257">
        <v>8</v>
      </c>
      <c r="GA15" s="2257">
        <v>8</v>
      </c>
      <c r="GB15" s="2257">
        <v>8</v>
      </c>
      <c r="GC15" s="2257">
        <v>8</v>
      </c>
      <c r="GD15" s="2257">
        <v>8</v>
      </c>
      <c r="GE15" s="2257">
        <v>8</v>
      </c>
      <c r="GF15" s="2257">
        <v>8</v>
      </c>
      <c r="GG15" s="2257">
        <v>8</v>
      </c>
      <c r="GH15" s="2257">
        <v>8</v>
      </c>
      <c r="GI15" s="2257">
        <v>8</v>
      </c>
      <c r="GJ15" s="2257">
        <v>8</v>
      </c>
      <c r="GK15" s="2257">
        <v>8</v>
      </c>
      <c r="GL15" s="2257">
        <v>8</v>
      </c>
      <c r="GM15" s="2257">
        <v>8</v>
      </c>
      <c r="GN15" s="2257">
        <v>8</v>
      </c>
      <c r="GO15" s="2257">
        <v>8</v>
      </c>
      <c r="GP15" s="2257">
        <v>8</v>
      </c>
      <c r="GQ15" s="2257">
        <v>8</v>
      </c>
      <c r="GR15" s="2257">
        <v>8</v>
      </c>
      <c r="GS15" s="2257">
        <v>8</v>
      </c>
      <c r="GT15" s="2257">
        <v>8</v>
      </c>
      <c r="GU15" s="2257">
        <v>8</v>
      </c>
      <c r="GV15" s="2257">
        <v>8</v>
      </c>
      <c r="GW15" s="2257">
        <v>8</v>
      </c>
      <c r="GX15" s="2257">
        <v>8</v>
      </c>
      <c r="GY15" s="2257">
        <v>8</v>
      </c>
      <c r="GZ15" s="2257">
        <v>8</v>
      </c>
      <c r="HA15" s="2257">
        <v>8</v>
      </c>
      <c r="HB15" s="2257">
        <v>8</v>
      </c>
      <c r="HC15" s="2257">
        <v>8</v>
      </c>
      <c r="HD15" s="2257">
        <v>8</v>
      </c>
      <c r="HE15" s="2257">
        <v>8</v>
      </c>
      <c r="HF15" s="2257">
        <v>8</v>
      </c>
      <c r="HG15" s="2257">
        <v>8</v>
      </c>
      <c r="HH15" s="2257">
        <v>8</v>
      </c>
      <c r="HI15" s="2257">
        <v>8</v>
      </c>
      <c r="HJ15" s="2257">
        <v>8</v>
      </c>
      <c r="HK15" s="2257">
        <v>8</v>
      </c>
      <c r="HL15" s="2257">
        <v>8</v>
      </c>
      <c r="HM15" s="2257">
        <v>8</v>
      </c>
      <c r="HN15" s="2257">
        <v>8</v>
      </c>
      <c r="HO15" s="2257">
        <v>8</v>
      </c>
      <c r="HP15" s="2257">
        <v>8</v>
      </c>
      <c r="HQ15" s="2257">
        <v>8</v>
      </c>
      <c r="HR15" s="2257">
        <v>8</v>
      </c>
      <c r="HS15" s="2257">
        <v>8</v>
      </c>
      <c r="HT15" s="2257">
        <v>8</v>
      </c>
      <c r="HU15" s="2257">
        <v>8</v>
      </c>
      <c r="HV15" s="2257">
        <v>8</v>
      </c>
      <c r="HW15" s="2257">
        <v>8</v>
      </c>
      <c r="HX15" s="2257">
        <v>8</v>
      </c>
      <c r="HY15" s="2257">
        <v>8</v>
      </c>
      <c r="HZ15" s="2257">
        <v>8</v>
      </c>
      <c r="IA15" s="2257">
        <v>8</v>
      </c>
      <c r="IB15" s="2257">
        <v>8</v>
      </c>
      <c r="IC15" s="2257">
        <v>8</v>
      </c>
      <c r="ID15" s="2257">
        <v>8</v>
      </c>
      <c r="IE15" s="2257">
        <v>8</v>
      </c>
      <c r="IF15" s="2257">
        <v>8</v>
      </c>
      <c r="IG15" s="2257">
        <v>8</v>
      </c>
      <c r="IH15" s="2257">
        <v>8</v>
      </c>
      <c r="II15" s="2257">
        <v>8</v>
      </c>
      <c r="IJ15" s="2257">
        <v>8</v>
      </c>
      <c r="IK15" s="2257">
        <v>8</v>
      </c>
      <c r="IL15" s="2257">
        <v>8</v>
      </c>
      <c r="IM15" s="2257">
        <v>8</v>
      </c>
      <c r="IN15" s="2257">
        <v>8</v>
      </c>
      <c r="IO15" s="2257">
        <v>8</v>
      </c>
      <c r="IP15" s="2257">
        <v>8</v>
      </c>
      <c r="IQ15" s="2257">
        <v>8</v>
      </c>
      <c r="IR15" s="2257">
        <v>8</v>
      </c>
      <c r="IS15" s="2257">
        <v>8</v>
      </c>
      <c r="IT15" s="2257">
        <v>8</v>
      </c>
      <c r="IU15" s="2257">
        <v>8</v>
      </c>
      <c r="IV15" s="2257">
        <v>8</v>
      </c>
      <c r="IW15" s="2257">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FEF056-4BDB-4FE5-58A5-DA4396D99865}"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34580" width="9.140625" hidden="1"/>
    <col min="2" max="2" style="34657" width="9.140625" hidden="1"/>
    <col min="3" max="3" style="34580" width="3.7109375" hidden="1" customWidth="1"/>
    <col min="4" max="4" style="34756" width="3.00390625" customWidth="1"/>
    <col min="5" max="5" style="34580" width="6.00390625" customWidth="1"/>
    <col min="6" max="6" style="34580" width="27.00390625" customWidth="1"/>
    <col min="7" max="7" style="34580" width="29.00390625" customWidth="1"/>
    <col min="8" max="8" style="34580" width="25.00390625" customWidth="1"/>
    <col min="9" max="9" style="34580" width="5.00390625" customWidth="1"/>
    <col min="10" max="10" style="34580" width="6.00390625" customWidth="1"/>
    <col min="11" max="11" style="34580" width="41.00390625" customWidth="1"/>
    <col min="12" max="12" style="34580" width="42.00390625" customWidth="1"/>
    <col min="13" max="13" style="34580" width="41.00390625" customWidth="1"/>
    <col min="14" max="14" style="34580" width="89.00390625" customWidth="1"/>
    <col min="15" max="15" style="34757" width="3.00390625" customWidth="1"/>
    <col min="16" max="16" style="34757" width="8.00390625" customWidth="1"/>
    <col min="17" max="17" style="34580" width="9.140625" hidden="1"/>
  </cols>
  <sheetData>
    <row customHeight="1" ht="22.5" hidden="1">
      <c r="Q1" s="1781" t="s">
        <v>14</v>
      </c>
    </row>
    <row s="34718" customFormat="1" customHeight="1" ht="22.5" hidden="1">
      <c r="A2" s="1122"/>
      <c r="B2" s="1786">
        <v>1</v>
      </c>
      <c r="C2" s="1786"/>
      <c r="D2" s="2554" t="s">
        <v>103</v>
      </c>
      <c r="E2" s="2753">
        <v>1</v>
      </c>
      <c r="F2" s="2929" t="str">
        <f>IF(region_name="","",region_name)</f>
        <v>Амурская область</v>
      </c>
      <c r="G2" s="3109"/>
      <c r="H2" s="3110"/>
      <c r="I2" s="1100"/>
      <c r="J2" s="2536">
        <v>1</v>
      </c>
      <c r="K2" s="2538"/>
      <c r="L2" s="2538"/>
      <c r="M2" s="2538"/>
      <c r="N2" s="1118"/>
      <c r="O2" s="2161"/>
      <c r="P2" s="1137"/>
      <c r="Q2" s="1049">
        <v>0</v>
      </c>
    </row>
    <row s="34718" customFormat="1" customHeight="1" ht="22.5" hidden="1">
      <c r="A3" s="1457"/>
      <c r="B3" s="1786"/>
      <c r="C3" s="1786"/>
      <c r="D3" s="1427"/>
      <c r="E3" s="2753"/>
      <c r="F3" s="2929"/>
      <c r="G3" s="3109"/>
      <c r="H3" s="3111"/>
      <c r="I3" s="1047"/>
      <c r="J3" s="2126"/>
      <c r="K3" s="2126" t="s">
        <v>2063</v>
      </c>
      <c r="L3" s="2169"/>
      <c r="M3" s="2546"/>
      <c r="N3" s="2539"/>
      <c r="O3" s="2161"/>
      <c r="P3" s="1137"/>
      <c r="Q3" s="1049">
        <v>0</v>
      </c>
    </row>
    <row s="34658" customFormat="1" customHeight="1" ht="5.25" hidden="1">
      <c r="A4" s="1122"/>
      <c r="D4" s="1120"/>
      <c r="F4" s="873" t="s">
        <v>83</v>
      </c>
      <c r="G4" s="1120" t="s">
        <v>84</v>
      </c>
      <c r="H4" s="1120"/>
      <c r="I4" s="2549"/>
      <c r="J4" s="2170"/>
      <c r="K4" s="2537"/>
      <c r="L4" s="2537"/>
      <c r="M4" s="2537"/>
      <c r="N4" s="2533"/>
      <c r="O4" s="873" t="s">
        <v>83</v>
      </c>
      <c r="P4" s="873"/>
      <c r="Q4" s="1137">
        <v>0</v>
      </c>
    </row>
    <row s="34718" customFormat="1" customHeight="1" ht="22.5" hidden="1">
      <c r="A5" s="2267"/>
      <c r="B5" s="1992">
        <v>1</v>
      </c>
      <c r="C5" s="1992"/>
      <c r="D5" s="1427"/>
      <c r="E5" s="2539"/>
      <c r="F5" s="2539"/>
      <c r="G5" s="2539"/>
      <c r="H5" s="2550"/>
      <c r="I5" s="2555" t="s">
        <v>103</v>
      </c>
      <c r="J5" s="2548">
        <v>1</v>
      </c>
      <c r="K5" s="2538"/>
      <c r="L5" s="2538"/>
      <c r="M5" s="2538"/>
      <c r="N5" s="1118"/>
      <c r="O5" s="2161"/>
      <c r="P5" s="2262"/>
      <c r="Q5" s="1250">
        <v>0</v>
      </c>
    </row>
    <row s="34673" customFormat="1" customHeight="1" ht="14.699999999999998">
      <c r="A6" s="1781"/>
      <c r="B6" s="1786"/>
      <c r="C6" s="1781"/>
      <c r="D6" s="2121"/>
      <c r="E6" s="1135"/>
      <c r="F6" s="1135"/>
      <c r="G6" s="1135"/>
      <c r="H6" s="1135"/>
      <c r="I6" s="1135"/>
      <c r="J6" s="1135"/>
      <c r="K6" s="1135"/>
      <c r="L6" s="1135"/>
      <c r="M6" s="1135"/>
      <c r="N6" s="2261"/>
      <c r="O6" s="873"/>
      <c r="P6" s="1126"/>
      <c r="Q6" s="1133">
        <v>14</v>
      </c>
    </row>
    <row s="34673" customFormat="1" customHeight="1" ht="27.299999999999997">
      <c r="A7" s="1781"/>
      <c r="B7" s="1786"/>
      <c r="C7" s="1781"/>
      <c r="D7" s="2121"/>
      <c r="E7" s="311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16"/>
      <c r="G7" s="3116"/>
      <c r="H7" s="3116"/>
      <c r="I7" s="3116"/>
      <c r="J7" s="3116"/>
      <c r="K7" s="3116"/>
      <c r="L7" s="3116"/>
      <c r="M7" s="3116"/>
      <c r="N7" s="1878"/>
      <c r="O7" s="873"/>
      <c r="P7" s="1126"/>
      <c r="Q7" s="1133">
        <v>26</v>
      </c>
    </row>
    <row s="34673" customFormat="1" customHeight="1" ht="14.699999999999998">
      <c r="A8" s="1781"/>
      <c r="B8" s="1786"/>
      <c r="C8" s="1781"/>
      <c r="D8" s="2121"/>
      <c r="E8" s="1135"/>
      <c r="F8" s="793"/>
      <c r="G8" s="793"/>
      <c r="H8" s="793"/>
      <c r="I8" s="793"/>
      <c r="J8" s="793"/>
      <c r="K8" s="793"/>
      <c r="L8" s="793"/>
      <c r="M8" s="793"/>
      <c r="N8" s="1242"/>
      <c r="O8" s="1126"/>
      <c r="P8" s="1126"/>
      <c r="Q8" s="1133">
        <v>14</v>
      </c>
    </row>
    <row s="37323" customFormat="1" customHeight="1" ht="14.25" hidden="1">
      <c r="A9" s="2094"/>
      <c r="B9" s="2104"/>
      <c r="C9" s="2094"/>
      <c r="D9" s="2121"/>
      <c r="E9" s="2540"/>
      <c r="F9" s="2540"/>
      <c r="G9" s="2540"/>
      <c r="H9" s="2540"/>
      <c r="I9" s="3119"/>
      <c r="J9" s="3119"/>
      <c r="K9" s="3119"/>
      <c r="L9" s="2540"/>
      <c r="M9" s="2541"/>
      <c r="O9" s="2171"/>
      <c r="P9" s="2171"/>
      <c r="Q9" s="2172">
        <v>0</v>
      </c>
    </row>
    <row s="34673" customFormat="1" customHeight="1" ht="14.699999999999998">
      <c r="A10" s="1781"/>
      <c r="B10" s="1786"/>
      <c r="C10" s="1781"/>
      <c r="D10" s="2121"/>
      <c r="E10" s="2753" t="s">
        <v>318</v>
      </c>
      <c r="F10" s="2753"/>
      <c r="G10" s="2753"/>
      <c r="H10" s="2753"/>
      <c r="I10" s="2753"/>
      <c r="J10" s="2753"/>
      <c r="K10" s="2753"/>
      <c r="L10" s="2753"/>
      <c r="M10" s="2727"/>
      <c r="N10" s="3104" t="s">
        <v>319</v>
      </c>
      <c r="O10" s="1126"/>
      <c r="P10" s="1126"/>
      <c r="Q10" s="1133">
        <v>14</v>
      </c>
    </row>
    <row s="34673" customFormat="1" customHeight="1" ht="44.25">
      <c r="A11" s="2257"/>
      <c r="B11" s="1992"/>
      <c r="C11" s="2257"/>
      <c r="D11" s="2141"/>
      <c r="E11" s="3118" t="s">
        <v>88</v>
      </c>
      <c r="F11" s="3118" t="s">
        <v>322</v>
      </c>
      <c r="G11" s="3118" t="s">
        <v>2064</v>
      </c>
      <c r="H11" s="3118"/>
      <c r="I11" s="3118" t="s">
        <v>2065</v>
      </c>
      <c r="J11" s="3118"/>
      <c r="K11" s="3118"/>
      <c r="L11" s="3118" t="s">
        <v>2066</v>
      </c>
      <c r="M11" s="3106" t="s">
        <v>2067</v>
      </c>
      <c r="N11" s="3117"/>
      <c r="O11" s="2250"/>
      <c r="P11" s="2250"/>
      <c r="Q11" s="2235">
        <v>42</v>
      </c>
    </row>
    <row s="34673" customFormat="1" customHeight="1" ht="29.25">
      <c r="A12" s="1781"/>
      <c r="B12" s="1786"/>
      <c r="C12" s="1781"/>
      <c r="D12" s="2121"/>
      <c r="E12" s="3104"/>
      <c r="F12" s="3118"/>
      <c r="G12" s="2535" t="s">
        <v>2068</v>
      </c>
      <c r="H12" s="2535" t="s">
        <v>326</v>
      </c>
      <c r="I12" s="3118"/>
      <c r="J12" s="3118"/>
      <c r="K12" s="3118"/>
      <c r="L12" s="3118"/>
      <c r="M12" s="3106"/>
      <c r="N12" s="3105"/>
      <c r="O12" s="1126"/>
      <c r="P12" s="1126"/>
      <c r="Q12" s="1133">
        <v>28</v>
      </c>
    </row>
    <row s="34718" customFormat="1" customHeight="1" ht="23.25">
      <c r="A13" s="2725">
        <v>26379339</v>
      </c>
      <c r="B13" s="1786">
        <v>1</v>
      </c>
      <c r="C13" s="1786"/>
      <c r="D13" s="1427"/>
      <c r="E13" s="2753">
        <v>1</v>
      </c>
      <c r="F13" s="3112" t="str">
        <f>IF(region_name="","",region_name)</f>
        <v>Амурская область</v>
      </c>
      <c r="G13" s="3113"/>
      <c r="H13" s="3120"/>
      <c r="I13" s="1100"/>
      <c r="J13" s="2531">
        <v>1</v>
      </c>
      <c r="K13" s="2544"/>
      <c r="L13" s="2545"/>
      <c r="M13" s="2545"/>
      <c r="N13" s="3114" t="s">
        <v>2069</v>
      </c>
      <c r="O13" s="2161"/>
      <c r="P13" s="1137"/>
      <c r="Q13" s="1049">
        <v>22</v>
      </c>
    </row>
    <row s="34718" customFormat="1" customHeight="1" ht="23.25">
      <c r="A14" s="2725"/>
      <c r="B14" s="1786"/>
      <c r="C14" s="1786"/>
      <c r="D14" s="1427"/>
      <c r="E14" s="2753"/>
      <c r="F14" s="3112"/>
      <c r="G14" s="3113"/>
      <c r="H14" s="3121"/>
      <c r="I14" s="1047"/>
      <c r="J14" s="2126"/>
      <c r="K14" s="2126" t="s">
        <v>2063</v>
      </c>
      <c r="L14" s="2169"/>
      <c r="M14" s="2169"/>
      <c r="N14" s="3115"/>
      <c r="O14" s="2161"/>
      <c r="P14" s="1137"/>
      <c r="Q14" s="1049">
        <v>22</v>
      </c>
    </row>
    <row s="34718" customFormat="1" customHeight="1" ht="23.25">
      <c r="A15" s="2725"/>
      <c r="B15" s="1786"/>
      <c r="C15" s="1038"/>
      <c r="D15" s="1427"/>
      <c r="E15" s="1047"/>
      <c r="F15" s="2126" t="s">
        <v>2055</v>
      </c>
      <c r="G15" s="2168"/>
      <c r="H15" s="2168"/>
      <c r="I15" s="813"/>
      <c r="J15" s="813"/>
      <c r="K15" s="813"/>
      <c r="L15" s="813"/>
      <c r="M15" s="813"/>
      <c r="N15" s="3115"/>
      <c r="O15" s="2162"/>
      <c r="P15" s="1137"/>
      <c r="Q15" s="1049">
        <v>22</v>
      </c>
    </row>
    <row s="34673" customFormat="1" customHeight="1" ht="22.049999999999997">
      <c r="A16" s="1781"/>
      <c r="B16" s="1786"/>
      <c r="C16" s="1781"/>
      <c r="D16" s="1077"/>
      <c r="E16" s="806"/>
      <c r="F16" s="806"/>
      <c r="G16" s="806"/>
      <c r="H16" s="806"/>
      <c r="I16" s="806"/>
      <c r="J16" s="806"/>
      <c r="K16" s="806"/>
      <c r="L16" s="806"/>
      <c r="M16" s="1135"/>
      <c r="N16" s="2261"/>
      <c r="O16" s="1126"/>
      <c r="P16" s="1126"/>
      <c r="Q16" s="1133">
        <v>21</v>
      </c>
    </row>
    <row s="34673" customFormat="1" customHeight="1" ht="14.699999999999998">
      <c r="A17" s="1781"/>
      <c r="B17" s="1786"/>
      <c r="C17" s="1781"/>
      <c r="D17" s="1077"/>
      <c r="E17" s="1781"/>
      <c r="F17" s="1781"/>
      <c r="G17" s="1781"/>
      <c r="H17" s="1781"/>
      <c r="I17" s="1781"/>
      <c r="J17" s="1781"/>
      <c r="K17" s="1781"/>
      <c r="L17" s="1781"/>
      <c r="M17" s="1781"/>
      <c r="N17" s="2257"/>
      <c r="O17" s="1126"/>
      <c r="P17" s="1126"/>
      <c r="Q17" s="1133">
        <v>14</v>
      </c>
    </row>
    <row s="34673" customFormat="1" customHeight="1" ht="1.05">
      <c r="A18" s="1781"/>
      <c r="B18" s="1786"/>
      <c r="C18" s="1781"/>
      <c r="D18" s="1077"/>
      <c r="E18" s="1781"/>
      <c r="F18" s="1781"/>
      <c r="G18" s="1781"/>
      <c r="H18" s="1781"/>
      <c r="I18" s="1781"/>
      <c r="J18" s="1781"/>
      <c r="K18" s="1781"/>
      <c r="L18" s="1781"/>
      <c r="M18" s="1781"/>
      <c r="N18" s="2257"/>
      <c r="O18" s="1126"/>
      <c r="P18" s="1126"/>
      <c r="Q18" s="1133">
        <v>1</v>
      </c>
    </row>
    <row customHeight="1" ht="22.5" hidden="1">
      <c r="A19" s="1781" t="s">
        <v>82</v>
      </c>
      <c r="B19" s="1786">
        <v>0</v>
      </c>
      <c r="C19" s="1781">
        <v>0</v>
      </c>
      <c r="D19" s="1077">
        <v>3</v>
      </c>
      <c r="E19" s="1781">
        <v>6</v>
      </c>
      <c r="F19" s="1781">
        <v>27</v>
      </c>
      <c r="G19" s="1781">
        <v>29</v>
      </c>
      <c r="H19" s="1781">
        <v>25</v>
      </c>
      <c r="I19" s="1781">
        <v>5</v>
      </c>
      <c r="J19" s="1781">
        <v>6</v>
      </c>
      <c r="K19" s="1781">
        <v>41</v>
      </c>
      <c r="L19" s="1781">
        <v>42</v>
      </c>
      <c r="M19" s="1781">
        <v>41</v>
      </c>
      <c r="N19" s="2257">
        <v>89</v>
      </c>
      <c r="O19" s="1126">
        <v>3</v>
      </c>
      <c r="P19" s="1126">
        <v>8</v>
      </c>
      <c r="Q19" s="1781">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574FC1-7C99-7E45-B5B8-D972A04646C3}"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5063" width="9.140625" hidden="1"/>
    <col min="2" max="2" style="37077" width="9.140625" hidden="1"/>
    <col min="3" max="3" style="37363" width="3.00390625" customWidth="1"/>
    <col min="4" max="4" style="37077" width="6.00390625" customWidth="1"/>
    <col min="5" max="5" style="37077" width="22.00390625" customWidth="1"/>
    <col min="6" max="6" style="37077" width="15.00390625" customWidth="1"/>
    <col min="7" max="7" style="37077" width="14.00390625" customWidth="1"/>
    <col min="8" max="8" style="37077" width="47.00390625" customWidth="1"/>
    <col min="9" max="9" style="37077" width="115.00390625" customWidth="1"/>
    <col min="10" max="10" style="37077" width="3.00390625" customWidth="1"/>
    <col min="11" max="12" style="37077" width="8.00390625" customWidth="1"/>
    <col min="13" max="13" style="37077" width="9.140625" hidden="1"/>
  </cols>
  <sheetData>
    <row customHeight="1" ht="14.25" hidden="1">
      <c r="M1" s="747" t="s">
        <v>14</v>
      </c>
    </row>
    <row customHeight="1" ht="14.25" hidden="1">
      <c r="M2" s="747">
        <v>0</v>
      </c>
    </row>
    <row customHeight="1" ht="14.25" hidden="1">
      <c r="M3" s="747">
        <v>0</v>
      </c>
    </row>
    <row customHeight="1" ht="3">
      <c r="M4" s="747">
        <v>3</v>
      </c>
    </row>
    <row s="34580" customFormat="1" customHeight="1" ht="31.5">
      <c r="A5" s="741"/>
      <c r="C5" s="716"/>
      <c r="D5" s="2726" t="s">
        <v>2070</v>
      </c>
      <c r="E5" s="2726"/>
      <c r="F5" s="2726"/>
      <c r="G5" s="2726"/>
      <c r="H5" s="2726"/>
      <c r="I5" s="891"/>
      <c r="M5" s="709">
        <v>30</v>
      </c>
    </row>
    <row customHeight="1" ht="3" hidden="1">
      <c r="D6" s="748"/>
      <c r="E6" s="748"/>
      <c r="F6" s="748"/>
      <c r="G6" s="748"/>
      <c r="H6" s="748"/>
      <c r="I6" s="748"/>
      <c r="M6" s="747">
        <v>0</v>
      </c>
    </row>
    <row s="35063" customFormat="1" customHeight="1" ht="14.699999999999998">
      <c r="B7" s="745"/>
      <c r="C7" s="746"/>
      <c r="D7" s="749"/>
      <c r="E7" s="749"/>
      <c r="F7" s="749"/>
      <c r="G7" s="749"/>
      <c r="H7" s="1378"/>
      <c r="I7" s="749"/>
      <c r="J7" s="750"/>
      <c r="M7" s="744">
        <v>14</v>
      </c>
    </row>
    <row customHeight="1" ht="14.699999999999998">
      <c r="D8" s="2835" t="s">
        <v>318</v>
      </c>
      <c r="E8" s="2835"/>
      <c r="F8" s="2835"/>
      <c r="G8" s="2835"/>
      <c r="H8" s="2835"/>
      <c r="I8" s="2835" t="s">
        <v>319</v>
      </c>
      <c r="M8" s="747">
        <v>14</v>
      </c>
    </row>
    <row customHeight="1" ht="29.25">
      <c r="D9" s="2835" t="s">
        <v>88</v>
      </c>
      <c r="E9" s="2835" t="s">
        <v>2071</v>
      </c>
      <c r="F9" s="2835"/>
      <c r="G9" s="2835"/>
      <c r="H9" s="2835"/>
      <c r="I9" s="2835"/>
      <c r="M9" s="747">
        <v>28</v>
      </c>
    </row>
    <row customHeight="1" ht="24">
      <c r="D10" s="2835"/>
      <c r="E10" s="753" t="s">
        <v>2072</v>
      </c>
      <c r="F10" s="753" t="s">
        <v>2073</v>
      </c>
      <c r="G10" s="753" t="s">
        <v>2074</v>
      </c>
      <c r="H10" s="753" t="s">
        <v>408</v>
      </c>
      <c r="I10" s="2835"/>
      <c r="M10" s="747">
        <v>23</v>
      </c>
    </row>
    <row customHeight="1" ht="12" hidden="1">
      <c r="D11" s="713" t="s">
        <v>118</v>
      </c>
      <c r="E11" s="713" t="s">
        <v>91</v>
      </c>
      <c r="F11" s="713" t="s">
        <v>119</v>
      </c>
      <c r="G11" s="713" t="s">
        <v>92</v>
      </c>
      <c r="H11" s="713" t="s">
        <v>93</v>
      </c>
      <c r="I11" s="713" t="s">
        <v>120</v>
      </c>
      <c r="M11" s="747">
        <v>0</v>
      </c>
    </row>
    <row s="37077" customFormat="1" customHeight="1" ht="26.25">
      <c r="A12" s="771" t="s">
        <v>90</v>
      </c>
      <c r="B12" s="751" t="s">
        <v>22</v>
      </c>
      <c r="C12" s="752"/>
      <c r="D12" s="754" t="s">
        <v>118</v>
      </c>
      <c r="E12" s="1007"/>
      <c r="F12" s="1007"/>
      <c r="G12" s="2360" t="s">
        <v>22</v>
      </c>
      <c r="H12" s="1008"/>
      <c r="I12" s="2795" t="s">
        <v>2075</v>
      </c>
      <c r="K12" s="898"/>
      <c r="L12" s="899"/>
      <c r="M12" s="743">
        <v>25</v>
      </c>
    </row>
    <row customHeight="1" ht="15.75">
      <c r="A13" s="747"/>
      <c r="B13" s="747"/>
      <c r="C13" s="747"/>
      <c r="D13" s="735"/>
      <c r="E13" s="756" t="s">
        <v>486</v>
      </c>
      <c r="F13" s="755"/>
      <c r="G13" s="755"/>
      <c r="H13" s="840"/>
      <c r="I13" s="2797"/>
      <c r="M13" s="747">
        <v>15</v>
      </c>
    </row>
    <row customHeight="1" ht="3">
      <c r="A14" s="747"/>
      <c r="B14" s="747"/>
      <c r="C14" s="747"/>
      <c r="M14" s="747">
        <v>3</v>
      </c>
    </row>
    <row customHeight="1" ht="29.25">
      <c r="E15" s="3122" t="s">
        <v>2076</v>
      </c>
      <c r="F15" s="3122"/>
      <c r="G15" s="3122"/>
      <c r="H15" s="3122"/>
      <c r="M15" s="747">
        <v>28</v>
      </c>
    </row>
    <row customHeight="1" ht="14.25" hidden="1">
      <c r="A16" s="744" t="s">
        <v>82</v>
      </c>
      <c r="B16" s="745">
        <v>0</v>
      </c>
      <c r="C16" s="746">
        <v>3</v>
      </c>
      <c r="D16" s="747">
        <v>6</v>
      </c>
      <c r="E16" s="747">
        <v>22</v>
      </c>
      <c r="F16" s="747">
        <v>15</v>
      </c>
      <c r="G16" s="747">
        <v>14</v>
      </c>
      <c r="H16" s="747">
        <v>47</v>
      </c>
      <c r="I16" s="747">
        <v>115</v>
      </c>
      <c r="J16" s="747">
        <v>3</v>
      </c>
      <c r="K16" s="747">
        <v>8</v>
      </c>
      <c r="L16" s="747">
        <v>8</v>
      </c>
      <c r="M16" s="747">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04213D-8CE8-1839-8DCD-E7FB56BAC95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37382" width="9.140625" hidden="1"/>
    <col min="3" max="3" style="37383" width="3.00390625" customWidth="1"/>
    <col min="4" max="4" style="37382" width="6.00390625" customWidth="1"/>
    <col min="5" max="5" style="37382" width="94.00390625" customWidth="1"/>
    <col min="6" max="9" style="37382" width="8.00390625" customWidth="1"/>
    <col min="10" max="10" style="37382" width="9.140625" hidden="1"/>
  </cols>
  <sheetData>
    <row customHeight="1" ht="14.25" hidden="1">
      <c r="J1" s="695" t="s">
        <v>14</v>
      </c>
    </row>
    <row customHeight="1" ht="14.25" hidden="1">
      <c r="J2" s="695">
        <v>0</v>
      </c>
    </row>
    <row customHeight="1" ht="14.25" hidden="1">
      <c r="J3" s="695">
        <v>0</v>
      </c>
    </row>
    <row customHeight="1" ht="14.25" hidden="1">
      <c r="J4" s="695">
        <v>0</v>
      </c>
    </row>
    <row customHeight="1" ht="14.25" hidden="1">
      <c r="J5" s="695">
        <v>0</v>
      </c>
    </row>
    <row customHeight="1" ht="3">
      <c r="C6" s="718"/>
      <c r="D6" s="696"/>
      <c r="E6" s="696"/>
      <c r="J6" s="695">
        <v>3</v>
      </c>
    </row>
    <row customHeight="1" ht="23.25">
      <c r="C7" s="718"/>
      <c r="D7" s="3123" t="s">
        <v>2077</v>
      </c>
      <c r="E7" s="3124"/>
      <c r="F7" s="893"/>
      <c r="J7" s="695">
        <v>22</v>
      </c>
    </row>
    <row customHeight="1" ht="3">
      <c r="C8" s="718"/>
      <c r="D8" s="696"/>
      <c r="E8" s="696"/>
      <c r="J8" s="695">
        <v>3</v>
      </c>
    </row>
    <row customHeight="1" ht="16.8">
      <c r="C9" s="718"/>
      <c r="D9" s="731" t="s">
        <v>88</v>
      </c>
      <c r="E9" s="886" t="s">
        <v>2078</v>
      </c>
      <c r="J9" s="695">
        <v>16</v>
      </c>
    </row>
    <row customHeight="1" ht="1.05">
      <c r="C10" s="718"/>
      <c r="D10" s="713"/>
      <c r="E10" s="713"/>
      <c r="J10" s="695">
        <v>1</v>
      </c>
    </row>
    <row customHeight="1" ht="11.25" hidden="1">
      <c r="C11" s="718"/>
      <c r="D11" s="776">
        <v>0</v>
      </c>
      <c r="E11" s="887"/>
      <c r="J11" s="695">
        <v>0</v>
      </c>
    </row>
    <row customHeight="1" ht="15.75">
      <c r="C12" s="762"/>
      <c r="D12" s="739">
        <v>1</v>
      </c>
      <c r="E12" s="1003"/>
      <c r="J12" s="695">
        <v>15</v>
      </c>
    </row>
    <row customHeight="1" ht="12.75">
      <c r="C13" s="718"/>
      <c r="D13" s="888"/>
      <c r="E13" s="889" t="s">
        <v>2079</v>
      </c>
      <c r="J13" s="695">
        <v>12</v>
      </c>
    </row>
    <row customHeight="1" ht="3">
      <c r="J14" s="695">
        <v>3</v>
      </c>
    </row>
    <row customHeight="1" ht="23.25">
      <c r="C15" s="763"/>
      <c r="D15" s="3125" t="s">
        <v>2080</v>
      </c>
      <c r="E15" s="3125"/>
      <c r="F15" s="764"/>
      <c r="G15" s="764"/>
      <c r="H15" s="764"/>
      <c r="I15" s="764"/>
      <c r="J15" s="695">
        <v>22</v>
      </c>
    </row>
    <row customHeight="1" ht="14.25" hidden="1">
      <c r="A16" s="695" t="s">
        <v>82</v>
      </c>
      <c r="B16" s="695">
        <v>0</v>
      </c>
      <c r="C16" s="717">
        <v>3</v>
      </c>
      <c r="D16" s="695">
        <v>6</v>
      </c>
      <c r="E16" s="695">
        <v>94</v>
      </c>
      <c r="F16" s="695">
        <v>8</v>
      </c>
      <c r="G16" s="695">
        <v>8</v>
      </c>
      <c r="H16" s="695">
        <v>8</v>
      </c>
      <c r="I16" s="695">
        <v>8</v>
      </c>
      <c r="J16" s="695">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50E658-A558-41C5-05B2-B1AC2DB551C5}" mc:Ignorable="x14ac xr xr2 xr3">
  <sheetPr>
    <tabColor rgb="FFCCCCFF"/>
    <pageSetUpPr fitToPage="1"/>
  </sheetPr>
  <dimension ref="A1:M14"/>
  <sheetViews>
    <sheetView topLeftCell="C6" showGridLines="0" zoomScale="90" workbookViewId="0">
      <selection activeCell="E12" sqref="E12"/>
    </sheetView>
  </sheetViews>
  <sheetFormatPr defaultColWidth="9.140625" customHeight="1" defaultRowHeight="14.25"/>
  <cols>
    <col min="1" max="2" style="37382" width="9.140625" hidden="1"/>
    <col min="3" max="3" style="37383" width="3.00390625" customWidth="1"/>
    <col min="4" max="4" style="37382" width="6.00390625" customWidth="1"/>
    <col min="5" max="5" style="37382" width="94.00390625" customWidth="1"/>
    <col min="6" max="12" style="37382" width="8.00390625" customWidth="1"/>
    <col min="13" max="13" style="37382" width="9.140625" hidden="1"/>
  </cols>
  <sheetData>
    <row customHeight="1" ht="14.25" hidden="1">
      <c r="L1" s="890"/>
      <c r="M1" s="695" t="s">
        <v>14</v>
      </c>
    </row>
    <row customHeight="1" ht="14.25" hidden="1">
      <c r="M2" s="695">
        <v>0</v>
      </c>
    </row>
    <row customHeight="1" ht="14.25" hidden="1">
      <c r="M3" s="695">
        <v>0</v>
      </c>
    </row>
    <row customHeight="1" ht="14.25" hidden="1">
      <c r="M4" s="695">
        <v>0</v>
      </c>
    </row>
    <row customHeight="1" ht="14.25" hidden="1">
      <c r="M5" s="695">
        <v>0</v>
      </c>
    </row>
    <row customHeight="1" ht="3">
      <c r="C6" s="718"/>
      <c r="D6" s="696"/>
      <c r="E6" s="696"/>
      <c r="M6" s="695">
        <v>3</v>
      </c>
    </row>
    <row customHeight="1" ht="23.25">
      <c r="C7" s="718"/>
      <c r="D7" s="2726" t="s">
        <v>2081</v>
      </c>
      <c r="E7" s="2726"/>
      <c r="F7" s="893"/>
      <c r="M7" s="695">
        <v>22</v>
      </c>
    </row>
    <row customHeight="1" ht="3">
      <c r="C8" s="718"/>
      <c r="D8" s="696"/>
      <c r="E8" s="696"/>
      <c r="M8" s="695">
        <v>3</v>
      </c>
    </row>
    <row customHeight="1" ht="16.8">
      <c r="C9" s="718"/>
      <c r="D9" s="731" t="s">
        <v>88</v>
      </c>
      <c r="E9" s="734" t="s">
        <v>305</v>
      </c>
      <c r="M9" s="695">
        <v>16</v>
      </c>
    </row>
    <row customHeight="1" ht="12.75">
      <c r="C10" s="718"/>
      <c r="D10" s="713" t="s">
        <v>118</v>
      </c>
      <c r="E10" s="713" t="s">
        <v>102</v>
      </c>
      <c r="M10" s="695">
        <v>12</v>
      </c>
    </row>
    <row customHeight="1" ht="15" hidden="1">
      <c r="C11" s="718"/>
      <c r="D11" s="739">
        <v>0</v>
      </c>
      <c r="E11" s="775"/>
      <c r="M11" s="695">
        <v>0</v>
      </c>
    </row>
    <row customHeight="1" ht="17.25">
      <c r="A12" s="37386"/>
      <c r="B12" s="37386"/>
      <c r="C12" s="2443" t="s">
        <v>103</v>
      </c>
      <c r="D12" s="739" t="s">
        <v>118</v>
      </c>
      <c r="E12" s="740" t="s">
        <v>2082</v>
      </c>
      <c r="F12" s="37386"/>
      <c r="G12" s="37386"/>
      <c r="H12" s="37386"/>
      <c r="I12" s="37386"/>
      <c r="J12" s="37386"/>
      <c r="K12" s="37386"/>
      <c r="L12" s="37386"/>
      <c r="M12" s="37386"/>
    </row>
    <row customHeight="1" ht="14.699999999999998">
      <c r="C13" s="718"/>
      <c r="D13" s="735"/>
      <c r="E13" s="733" t="s">
        <v>2079</v>
      </c>
      <c r="M13" s="695">
        <v>14</v>
      </c>
    </row>
    <row customHeight="1" ht="14.25" hidden="1">
      <c r="A14" s="695" t="s">
        <v>82</v>
      </c>
      <c r="B14" s="695">
        <v>0</v>
      </c>
      <c r="C14" s="717">
        <v>3</v>
      </c>
      <c r="D14" s="695">
        <v>6</v>
      </c>
      <c r="E14" s="695">
        <v>94</v>
      </c>
      <c r="F14" s="695">
        <v>8</v>
      </c>
      <c r="G14" s="695">
        <v>8</v>
      </c>
      <c r="H14" s="695">
        <v>8</v>
      </c>
      <c r="I14" s="695">
        <v>8</v>
      </c>
      <c r="J14" s="695">
        <v>8</v>
      </c>
      <c r="K14" s="695">
        <v>8</v>
      </c>
      <c r="L14" s="695">
        <v>8</v>
      </c>
      <c r="M14" s="695">
        <v>14</v>
      </c>
    </row>
  </sheetData>
  <sheetProtection sheet="1" formatColumns="0" formatRows="0" autoFilter="0" sort="1" insertRows="1" insertColumns="1" deleteRows="1" deleteColumns="1"/>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4DF404-A45D-FFBC-640B-CE49A7DE12F7}"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34718" width="9.140625" hidden="1"/>
    <col min="3" max="4" style="34718" width="3.00390625" customWidth="1"/>
    <col min="5" max="6" style="34718" width="15.00390625" customWidth="1"/>
    <col min="7" max="7" style="34718" width="11.57421875" customWidth="1"/>
    <col min="8" max="9" style="34718" width="3.00390625" customWidth="1"/>
    <col min="10" max="10" style="34718" width="12.00390625" customWidth="1"/>
    <col min="11" max="11" style="34718" width="0.28125" customWidth="1"/>
    <col min="12" max="13" style="34718" width="10.00390625" customWidth="1"/>
    <col min="14" max="15" style="34718" width="3.00390625" customWidth="1"/>
    <col min="16" max="16" style="34718" width="19.00390625" customWidth="1"/>
    <col min="17" max="17" style="34718" width="0.28125" customWidth="1"/>
    <col min="18" max="19" style="34718" width="10.00390625" customWidth="1"/>
    <col min="20" max="21" style="34718" width="3.00390625" customWidth="1"/>
    <col min="22" max="22" style="34718" width="25.00390625" customWidth="1"/>
    <col min="23" max="23" style="34718" width="0.28125" customWidth="1"/>
    <col min="24" max="25" style="34718" width="10.00390625" customWidth="1"/>
    <col min="26" max="27" style="34718" width="3.00390625" customWidth="1"/>
    <col min="28" max="28" style="34718" width="16.00390625" customWidth="1"/>
    <col min="29" max="29" style="34718" width="0.28125" customWidth="1"/>
    <col min="30" max="31" style="34718" width="10.00390625" customWidth="1"/>
    <col min="32" max="33" style="34718" width="3.00390625" customWidth="1"/>
    <col min="34" max="34" style="34718" width="8.00390625" customWidth="1"/>
    <col min="35" max="35" style="34718" width="21.00390625" customWidth="1"/>
    <col min="36" max="36" style="34718" width="8.00390625" customWidth="1"/>
    <col min="37" max="37" style="35063" width="8.00390625" customWidth="1"/>
    <col min="38" max="64" style="34718" width="8.00390625" customWidth="1"/>
    <col min="65" max="65" style="34718" width="9.140625" hidden="1"/>
  </cols>
  <sheetData>
    <row s="34987" customFormat="1" customHeight="1" ht="11.25" hidden="1">
      <c r="AJ1" s="1048"/>
      <c r="AK1" s="1048"/>
      <c r="AL1" s="1048"/>
      <c r="AM1" s="1048"/>
      <c r="AN1" s="1048"/>
      <c r="AO1" s="1048"/>
      <c r="AP1" s="1048"/>
      <c r="AQ1" s="1048"/>
      <c r="AR1" s="1048"/>
      <c r="AS1" s="1048"/>
      <c r="AT1" s="1048"/>
      <c r="AU1" s="1048"/>
      <c r="AV1" s="1048"/>
      <c r="AW1" s="1048"/>
      <c r="AX1" s="1048"/>
      <c r="AY1" s="1048"/>
      <c r="AZ1" s="1048"/>
      <c r="BA1" s="1048"/>
      <c r="BB1" s="1048"/>
      <c r="BC1" s="1048"/>
      <c r="BD1" s="1048"/>
      <c r="BE1" s="1048"/>
      <c r="BF1" s="1048"/>
      <c r="BG1" s="1048"/>
      <c r="BH1" s="1048"/>
      <c r="BI1" s="1048"/>
      <c r="BJ1" s="1048"/>
      <c r="BK1" s="1048"/>
      <c r="BL1" s="1048"/>
      <c r="BM1" s="1045" t="s">
        <v>14</v>
      </c>
    </row>
    <row s="34988" customFormat="1" customHeight="1" ht="11.25" hidden="1">
      <c r="L2" s="2179" t="s">
        <v>297</v>
      </c>
      <c r="M2" s="2179" t="s">
        <v>298</v>
      </c>
      <c r="R2" s="2179" t="s">
        <v>299</v>
      </c>
      <c r="S2" s="2179" t="s">
        <v>298</v>
      </c>
      <c r="X2" s="2179" t="s">
        <v>297</v>
      </c>
      <c r="Y2" s="2179" t="s">
        <v>298</v>
      </c>
      <c r="AD2" s="2179" t="s">
        <v>297</v>
      </c>
      <c r="AE2" s="2179" t="s">
        <v>298</v>
      </c>
      <c r="AJ2" s="2201"/>
      <c r="AK2" s="2201"/>
      <c r="AL2" s="2201"/>
      <c r="AM2" s="2201"/>
      <c r="AN2" s="2201"/>
      <c r="AO2" s="2201"/>
      <c r="AP2" s="2201"/>
      <c r="AQ2" s="2201"/>
      <c r="AR2" s="2201"/>
      <c r="AS2" s="2201"/>
      <c r="AT2" s="2201"/>
      <c r="AU2" s="2201"/>
      <c r="AV2" s="2201"/>
      <c r="AW2" s="2201"/>
      <c r="AX2" s="2201"/>
      <c r="AY2" s="2201"/>
      <c r="AZ2" s="2201"/>
      <c r="BA2" s="2201"/>
      <c r="BB2" s="2201"/>
      <c r="BC2" s="2201"/>
      <c r="BD2" s="2201"/>
      <c r="BE2" s="2201"/>
      <c r="BF2" s="2201"/>
      <c r="BG2" s="2201"/>
      <c r="BH2" s="2201"/>
      <c r="BI2" s="2201"/>
      <c r="BJ2" s="2201"/>
      <c r="BK2" s="2201"/>
      <c r="BL2" s="2201"/>
      <c r="BM2" s="2179">
        <v>0</v>
      </c>
    </row>
    <row s="34991" customFormat="1" customHeight="1" ht="11.549999999999999">
      <c r="AJ3" s="2200"/>
      <c r="AK3" s="932"/>
      <c r="AL3" s="2200"/>
      <c r="AM3" s="2200"/>
      <c r="AN3" s="2200"/>
      <c r="AO3" s="2200"/>
      <c r="AP3" s="2200"/>
      <c r="AQ3" s="2200"/>
      <c r="AR3" s="2200"/>
      <c r="AS3" s="2200"/>
      <c r="AT3" s="2200"/>
      <c r="AU3" s="2200"/>
      <c r="AV3" s="2200"/>
      <c r="AW3" s="2200"/>
      <c r="AX3" s="2200"/>
      <c r="AY3" s="2200"/>
      <c r="AZ3" s="2200"/>
      <c r="BA3" s="2200"/>
      <c r="BB3" s="2200"/>
      <c r="BC3" s="2200"/>
      <c r="BD3" s="2200"/>
      <c r="BE3" s="2200"/>
      <c r="BF3" s="2200"/>
      <c r="BG3" s="2200"/>
      <c r="BH3" s="2200"/>
      <c r="BI3" s="2200"/>
      <c r="BJ3" s="2200"/>
      <c r="BK3" s="2200"/>
      <c r="BL3" s="2200"/>
      <c r="BM3" s="2180">
        <v>11</v>
      </c>
    </row>
    <row s="34673" customFormat="1" customHeight="1" ht="34.5">
      <c r="A4" s="1782"/>
      <c r="B4" s="1781"/>
      <c r="C4" s="2141"/>
      <c r="D4" s="2817" t="s">
        <v>300</v>
      </c>
      <c r="E4" s="2817"/>
      <c r="F4" s="2817"/>
      <c r="G4" s="2817"/>
      <c r="H4" s="2817"/>
      <c r="I4" s="2817"/>
      <c r="J4" s="2817"/>
      <c r="K4" s="1325"/>
      <c r="T4" s="2181"/>
      <c r="AJ4" s="2202"/>
      <c r="AK4" s="2203"/>
      <c r="AL4" s="2202"/>
      <c r="AM4" s="2202"/>
      <c r="AN4" s="2202"/>
      <c r="AO4" s="2202"/>
      <c r="AP4" s="2202"/>
      <c r="AQ4" s="2202"/>
      <c r="AR4" s="2202"/>
      <c r="AS4" s="2202"/>
      <c r="AT4" s="2202"/>
      <c r="AU4" s="2202"/>
      <c r="AV4" s="2202"/>
      <c r="AW4" s="2202"/>
      <c r="AX4" s="2202"/>
      <c r="AY4" s="2202"/>
      <c r="AZ4" s="2202"/>
      <c r="BA4" s="2202"/>
      <c r="BB4" s="2202"/>
      <c r="BC4" s="2202"/>
      <c r="BD4" s="2202"/>
      <c r="BE4" s="2202"/>
      <c r="BF4" s="2202"/>
      <c r="BG4" s="2202"/>
      <c r="BH4" s="2202"/>
      <c r="BI4" s="2202"/>
      <c r="BJ4" s="2202"/>
      <c r="BK4" s="2202"/>
      <c r="BL4" s="2202"/>
      <c r="BM4" s="1133">
        <v>33</v>
      </c>
    </row>
    <row s="34673" customFormat="1" customHeight="1" ht="14.699999999999998">
      <c r="A5" s="2258"/>
      <c r="B5" s="2257"/>
      <c r="C5" s="2141"/>
      <c r="D5" s="2802" t="str">
        <f>IF(org=0,"Не определено",org)</f>
        <v>АО "ДГК"</v>
      </c>
      <c r="E5" s="2802"/>
      <c r="F5" s="2802"/>
      <c r="G5" s="2802"/>
      <c r="H5" s="2802"/>
      <c r="I5" s="2802"/>
      <c r="J5" s="2802"/>
      <c r="K5" s="1325"/>
      <c r="T5" s="2181"/>
      <c r="AJ5" s="2202"/>
      <c r="AK5" s="2203"/>
      <c r="AL5" s="2202"/>
      <c r="AM5" s="2202"/>
      <c r="AN5" s="2202"/>
      <c r="AO5" s="2202"/>
      <c r="AP5" s="2202"/>
      <c r="AQ5" s="2202"/>
      <c r="AR5" s="2202"/>
      <c r="AS5" s="2202"/>
      <c r="AT5" s="2202"/>
      <c r="AU5" s="2202"/>
      <c r="AV5" s="2202"/>
      <c r="AW5" s="2202"/>
      <c r="AX5" s="2202"/>
      <c r="AY5" s="2202"/>
      <c r="AZ5" s="2202"/>
      <c r="BA5" s="2202"/>
      <c r="BB5" s="2202"/>
      <c r="BC5" s="2202"/>
      <c r="BD5" s="2202"/>
      <c r="BE5" s="2202"/>
      <c r="BF5" s="2202"/>
      <c r="BG5" s="2202"/>
      <c r="BH5" s="2202"/>
      <c r="BI5" s="2202"/>
      <c r="BJ5" s="2202"/>
      <c r="BK5" s="2202"/>
      <c r="BL5" s="2202"/>
      <c r="BM5" s="2235">
        <v>14</v>
      </c>
    </row>
    <row s="34673" customFormat="1" customHeight="1" ht="14.699999999999998">
      <c r="A6" s="1782"/>
      <c r="B6" s="1781"/>
      <c r="C6" s="2141"/>
      <c r="D6" s="1325"/>
      <c r="E6" s="1325"/>
      <c r="F6" s="1325"/>
      <c r="G6" s="1325"/>
      <c r="H6" s="1325"/>
      <c r="I6" s="1325"/>
      <c r="J6" s="1325"/>
      <c r="K6" s="1325"/>
      <c r="T6" s="2181"/>
      <c r="AJ6" s="2202"/>
      <c r="AK6" s="2203"/>
      <c r="AL6" s="2202"/>
      <c r="AM6" s="2202"/>
      <c r="AN6" s="2202"/>
      <c r="AO6" s="2202"/>
      <c r="AP6" s="2202"/>
      <c r="AQ6" s="2202"/>
      <c r="AR6" s="2202"/>
      <c r="AS6" s="2202"/>
      <c r="AT6" s="2202"/>
      <c r="AU6" s="2202"/>
      <c r="AV6" s="2202"/>
      <c r="AW6" s="2202"/>
      <c r="AX6" s="2202"/>
      <c r="AY6" s="2202"/>
      <c r="AZ6" s="2202"/>
      <c r="BA6" s="2202"/>
      <c r="BB6" s="2202"/>
      <c r="BC6" s="2202"/>
      <c r="BD6" s="2202"/>
      <c r="BE6" s="2202"/>
      <c r="BF6" s="2202"/>
      <c r="BG6" s="2202"/>
      <c r="BH6" s="2202"/>
      <c r="BI6" s="2202"/>
      <c r="BJ6" s="2202"/>
      <c r="BK6" s="2202"/>
      <c r="BL6" s="2202"/>
      <c r="BM6" s="1133">
        <v>14</v>
      </c>
    </row>
    <row s="34987" customFormat="1" customHeight="1" ht="1.05">
      <c r="AJ7" s="1048"/>
      <c r="AK7" s="1048"/>
      <c r="AL7" s="1048"/>
      <c r="AM7" s="1048"/>
      <c r="AN7" s="1048"/>
      <c r="AO7" s="1048"/>
      <c r="AP7" s="1048"/>
      <c r="AQ7" s="1048"/>
      <c r="AR7" s="1048"/>
      <c r="AS7" s="1048"/>
      <c r="AT7" s="1048"/>
      <c r="AU7" s="1048"/>
      <c r="AV7" s="1048"/>
      <c r="AW7" s="1048"/>
      <c r="AX7" s="1048"/>
      <c r="AY7" s="1048"/>
      <c r="AZ7" s="1048"/>
      <c r="BA7" s="1048"/>
      <c r="BB7" s="1048"/>
      <c r="BC7" s="1048"/>
      <c r="BD7" s="1048"/>
      <c r="BE7" s="1048"/>
      <c r="BF7" s="1048"/>
      <c r="BG7" s="1048"/>
      <c r="BH7" s="1048"/>
      <c r="BI7" s="1048"/>
      <c r="BJ7" s="1048"/>
      <c r="BK7" s="1048"/>
      <c r="BL7" s="1048"/>
      <c r="BM7" s="1045">
        <v>1</v>
      </c>
    </row>
    <row customHeight="1" ht="33.75">
      <c r="D8" s="2753" t="s">
        <v>88</v>
      </c>
      <c r="E8" s="2753" t="s">
        <v>114</v>
      </c>
      <c r="F8" s="2818" t="s">
        <v>142</v>
      </c>
      <c r="G8" s="2819"/>
      <c r="H8" s="2818" t="s">
        <v>88</v>
      </c>
      <c r="I8" s="2819"/>
      <c r="J8" s="2753" t="s">
        <v>143</v>
      </c>
      <c r="K8" s="2182"/>
      <c r="L8" s="2822" t="s">
        <v>301</v>
      </c>
      <c r="M8" s="2822"/>
      <c r="N8" s="2822"/>
      <c r="O8" s="2822"/>
      <c r="P8" s="2822"/>
      <c r="Q8" s="2183"/>
      <c r="R8" s="2722" t="s">
        <v>302</v>
      </c>
      <c r="S8" s="2823"/>
      <c r="T8" s="2823"/>
      <c r="U8" s="2823"/>
      <c r="V8" s="2823"/>
      <c r="W8" s="2183"/>
      <c r="X8" s="2824" t="s">
        <v>303</v>
      </c>
      <c r="Y8" s="2824"/>
      <c r="Z8" s="2824"/>
      <c r="AA8" s="2824"/>
      <c r="AB8" s="2824"/>
      <c r="AC8" s="2184"/>
      <c r="AD8" s="2753" t="s">
        <v>304</v>
      </c>
      <c r="AE8" s="2753"/>
      <c r="AF8" s="2753"/>
      <c r="AG8" s="2753"/>
      <c r="AH8" s="2727"/>
      <c r="AI8" s="2753" t="s">
        <v>305</v>
      </c>
      <c r="AJ8" s="2200"/>
      <c r="BM8" s="919">
        <v>32</v>
      </c>
    </row>
    <row customHeight="1" ht="23.25">
      <c r="D9" s="2753"/>
      <c r="E9" s="2753"/>
      <c r="F9" s="2801" t="s">
        <v>89</v>
      </c>
      <c r="G9" s="2801" t="s">
        <v>148</v>
      </c>
      <c r="H9" s="2820"/>
      <c r="I9" s="2821"/>
      <c r="J9" s="2727"/>
      <c r="K9" s="2185"/>
      <c r="L9" s="2753" t="s">
        <v>306</v>
      </c>
      <c r="M9" s="2727"/>
      <c r="N9" s="2818" t="s">
        <v>88</v>
      </c>
      <c r="O9" s="2819"/>
      <c r="P9" s="2753" t="s">
        <v>149</v>
      </c>
      <c r="Q9" s="2182"/>
      <c r="R9" s="2753" t="s">
        <v>306</v>
      </c>
      <c r="S9" s="2727"/>
      <c r="T9" s="2818" t="s">
        <v>88</v>
      </c>
      <c r="U9" s="2819"/>
      <c r="V9" s="2753" t="s">
        <v>149</v>
      </c>
      <c r="W9" s="2182"/>
      <c r="X9" s="2753" t="s">
        <v>306</v>
      </c>
      <c r="Y9" s="2727"/>
      <c r="Z9" s="2818" t="s">
        <v>88</v>
      </c>
      <c r="AA9" s="2819"/>
      <c r="AB9" s="2753" t="s">
        <v>307</v>
      </c>
      <c r="AC9" s="2182"/>
      <c r="AD9" s="2753" t="s">
        <v>306</v>
      </c>
      <c r="AE9" s="2727"/>
      <c r="AF9" s="2818" t="s">
        <v>88</v>
      </c>
      <c r="AG9" s="2819"/>
      <c r="AH9" s="2727" t="s">
        <v>307</v>
      </c>
      <c r="AI9" s="2753"/>
      <c r="AJ9" s="2200"/>
      <c r="BM9" s="919">
        <v>22</v>
      </c>
    </row>
    <row customHeight="1" ht="24">
      <c r="D10" s="2801"/>
      <c r="E10" s="2801"/>
      <c r="F10" s="2825"/>
      <c r="G10" s="2825"/>
      <c r="H10" s="2826"/>
      <c r="I10" s="2827"/>
      <c r="J10" s="2818"/>
      <c r="K10" s="2185"/>
      <c r="L10" s="2204" t="s">
        <v>308</v>
      </c>
      <c r="M10" s="2199" t="s">
        <v>309</v>
      </c>
      <c r="N10" s="2820"/>
      <c r="O10" s="2821"/>
      <c r="P10" s="2801"/>
      <c r="Q10" s="2182"/>
      <c r="R10" s="2204" t="s">
        <v>308</v>
      </c>
      <c r="S10" s="2199" t="s">
        <v>309</v>
      </c>
      <c r="T10" s="2820"/>
      <c r="U10" s="2821"/>
      <c r="V10" s="2801"/>
      <c r="W10" s="2182"/>
      <c r="X10" s="2204" t="s">
        <v>308</v>
      </c>
      <c r="Y10" s="2199" t="s">
        <v>309</v>
      </c>
      <c r="Z10" s="2820"/>
      <c r="AA10" s="2821"/>
      <c r="AB10" s="2801"/>
      <c r="AC10" s="2182"/>
      <c r="AD10" s="2204" t="s">
        <v>308</v>
      </c>
      <c r="AE10" s="2199" t="s">
        <v>309</v>
      </c>
      <c r="AF10" s="2820"/>
      <c r="AG10" s="2821"/>
      <c r="AH10" s="2818"/>
      <c r="AI10" s="2801"/>
      <c r="AJ10" s="2200"/>
      <c r="AK10" s="880" t="s">
        <v>310</v>
      </c>
      <c r="AL10" s="880" t="s">
        <v>150</v>
      </c>
      <c r="BM10" s="919">
        <v>23</v>
      </c>
    </row>
    <row customHeight="1" ht="15">
      <c r="D11" s="2809" t="s">
        <v>118</v>
      </c>
      <c r="E11" s="2805" t="s">
        <v>311</v>
      </c>
      <c r="F11" s="2805" t="s">
        <v>312</v>
      </c>
      <c r="G11" s="2811" t="s">
        <v>19</v>
      </c>
      <c r="H11" s="2225"/>
      <c r="I11" s="2807"/>
      <c r="J11" s="2778"/>
      <c r="K11" s="2140"/>
      <c r="L11" s="2763"/>
      <c r="M11" s="2763"/>
      <c r="N11" s="2210"/>
      <c r="O11" s="2763"/>
      <c r="P11" s="2778"/>
      <c r="Q11" s="2211"/>
      <c r="R11" s="2763"/>
      <c r="S11" s="2763"/>
      <c r="T11" s="2212"/>
      <c r="U11" s="2763"/>
      <c r="V11" s="2778"/>
      <c r="W11" s="2213"/>
      <c r="X11" s="2763"/>
      <c r="Y11" s="2763"/>
      <c r="Z11" s="2210"/>
      <c r="AA11" s="2763"/>
      <c r="AB11" s="2778"/>
      <c r="AC11" s="2214"/>
      <c r="AD11" s="2763"/>
      <c r="AE11" s="2763"/>
      <c r="AF11" s="2139"/>
      <c r="AG11" s="2139"/>
      <c r="AH11" s="2215"/>
      <c r="AI11" s="1922"/>
      <c r="AJ11" s="2200"/>
      <c r="BM11" s="919">
        <v>14</v>
      </c>
    </row>
    <row customHeight="1" ht="14.699999999999998">
      <c r="D12" s="2809"/>
      <c r="E12" s="2805"/>
      <c r="F12" s="2805"/>
      <c r="G12" s="2812"/>
      <c r="H12" s="2226"/>
      <c r="I12" s="2808"/>
      <c r="J12" s="2779"/>
      <c r="K12" s="2236"/>
      <c r="L12" s="2764"/>
      <c r="M12" s="2764"/>
      <c r="N12" s="2216"/>
      <c r="O12" s="2764"/>
      <c r="P12" s="2779"/>
      <c r="Q12" s="2217"/>
      <c r="R12" s="2764"/>
      <c r="S12" s="2764"/>
      <c r="T12" s="2218"/>
      <c r="U12" s="2764"/>
      <c r="V12" s="2779"/>
      <c r="W12" s="2219"/>
      <c r="X12" s="2764"/>
      <c r="Y12" s="2764"/>
      <c r="Z12" s="2216"/>
      <c r="AA12" s="2764"/>
      <c r="AB12" s="2779"/>
      <c r="AC12" s="2220"/>
      <c r="AD12" s="2764"/>
      <c r="AE12" s="2764"/>
      <c r="AF12" s="2221"/>
      <c r="AG12" s="2221"/>
      <c r="AH12" s="2803"/>
      <c r="AI12" s="2804"/>
      <c r="AJ12" s="2200"/>
      <c r="BM12" s="919">
        <v>14</v>
      </c>
    </row>
    <row customHeight="1" ht="14.699999999999998">
      <c r="D13" s="2809"/>
      <c r="E13" s="2805"/>
      <c r="F13" s="2805"/>
      <c r="G13" s="2812"/>
      <c r="H13" s="2226"/>
      <c r="I13" s="2808"/>
      <c r="J13" s="2779"/>
      <c r="K13" s="2236"/>
      <c r="L13" s="2764"/>
      <c r="M13" s="2764"/>
      <c r="N13" s="2216"/>
      <c r="O13" s="2764"/>
      <c r="P13" s="2779"/>
      <c r="Q13" s="2217"/>
      <c r="R13" s="2764"/>
      <c r="S13" s="2764"/>
      <c r="T13" s="2218"/>
      <c r="U13" s="2764"/>
      <c r="V13" s="2779"/>
      <c r="W13" s="2219"/>
      <c r="X13" s="2764"/>
      <c r="Y13" s="2764"/>
      <c r="Z13" s="2138"/>
      <c r="AA13" s="2221"/>
      <c r="AB13" s="2803"/>
      <c r="AC13" s="2803"/>
      <c r="AD13" s="2803"/>
      <c r="AE13" s="2803"/>
      <c r="AF13" s="2803"/>
      <c r="AG13" s="2803"/>
      <c r="AH13" s="2803"/>
      <c r="AI13" s="2804"/>
      <c r="AJ13" s="2200"/>
      <c r="BM13" s="919">
        <v>14</v>
      </c>
    </row>
    <row customHeight="1" ht="14.699999999999998">
      <c r="D14" s="2809"/>
      <c r="E14" s="2805"/>
      <c r="F14" s="2805"/>
      <c r="G14" s="2812"/>
      <c r="H14" s="2226"/>
      <c r="I14" s="2808"/>
      <c r="J14" s="2779"/>
      <c r="K14" s="2236"/>
      <c r="L14" s="2764"/>
      <c r="M14" s="2764"/>
      <c r="N14" s="2216"/>
      <c r="O14" s="2764"/>
      <c r="P14" s="2779"/>
      <c r="Q14" s="2217"/>
      <c r="R14" s="2764"/>
      <c r="S14" s="2764"/>
      <c r="T14" s="2222"/>
      <c r="U14" s="2223"/>
      <c r="V14" s="2803"/>
      <c r="W14" s="2803"/>
      <c r="X14" s="2803"/>
      <c r="Y14" s="2803"/>
      <c r="Z14" s="2803"/>
      <c r="AA14" s="2803"/>
      <c r="AB14" s="2803"/>
      <c r="AC14" s="2803"/>
      <c r="AD14" s="2803"/>
      <c r="AE14" s="2803"/>
      <c r="AF14" s="2803"/>
      <c r="AG14" s="2803"/>
      <c r="AH14" s="2803"/>
      <c r="AI14" s="2804"/>
      <c r="AJ14" s="2200"/>
      <c r="BM14" s="919">
        <v>14</v>
      </c>
    </row>
    <row customHeight="1" ht="11.549999999999999">
      <c r="D15" s="2809"/>
      <c r="E15" s="2805"/>
      <c r="F15" s="2805"/>
      <c r="G15" s="2812"/>
      <c r="H15" s="2227"/>
      <c r="I15" s="2808"/>
      <c r="J15" s="2779"/>
      <c r="K15" s="2236"/>
      <c r="L15" s="2764"/>
      <c r="M15" s="2764"/>
      <c r="N15" s="2221"/>
      <c r="O15" s="2221"/>
      <c r="P15" s="2803"/>
      <c r="Q15" s="2803"/>
      <c r="R15" s="2803"/>
      <c r="S15" s="2803"/>
      <c r="T15" s="2803"/>
      <c r="U15" s="2803"/>
      <c r="V15" s="2803"/>
      <c r="W15" s="2803"/>
      <c r="X15" s="2803"/>
      <c r="Y15" s="2803"/>
      <c r="Z15" s="2803"/>
      <c r="AA15" s="2803"/>
      <c r="AB15" s="2803"/>
      <c r="AC15" s="2803"/>
      <c r="AD15" s="2803"/>
      <c r="AE15" s="2803"/>
      <c r="AF15" s="2803"/>
      <c r="AG15" s="2803"/>
      <c r="AH15" s="2803"/>
      <c r="AI15" s="2804"/>
      <c r="AJ15" s="2200"/>
      <c r="BM15" s="919">
        <v>11</v>
      </c>
    </row>
    <row s="34991" customFormat="1" customHeight="1" ht="11.549999999999999">
      <c r="D16" s="2815"/>
      <c r="E16" s="2816"/>
      <c r="F16" s="2806"/>
      <c r="G16" s="2738"/>
      <c r="H16" s="2224"/>
      <c r="I16" s="2228"/>
      <c r="J16" s="2813"/>
      <c r="K16" s="2813"/>
      <c r="L16" s="2813"/>
      <c r="M16" s="2813"/>
      <c r="N16" s="2813"/>
      <c r="O16" s="2813"/>
      <c r="P16" s="2813"/>
      <c r="Q16" s="2813"/>
      <c r="R16" s="2813"/>
      <c r="S16" s="2813"/>
      <c r="T16" s="2813"/>
      <c r="U16" s="2813"/>
      <c r="V16" s="2813"/>
      <c r="W16" s="2813"/>
      <c r="X16" s="2813"/>
      <c r="Y16" s="2813"/>
      <c r="Z16" s="2813"/>
      <c r="AA16" s="2813"/>
      <c r="AB16" s="2813"/>
      <c r="AC16" s="2813"/>
      <c r="AD16" s="2813"/>
      <c r="AE16" s="2813"/>
      <c r="AF16" s="2813"/>
      <c r="AG16" s="2813"/>
      <c r="AH16" s="2813"/>
      <c r="AI16" s="2814"/>
      <c r="AJ16" s="2200"/>
      <c r="AK16" s="932"/>
      <c r="AL16" s="2200"/>
      <c r="AM16" s="2200"/>
      <c r="AN16" s="2200"/>
      <c r="AO16" s="2200"/>
      <c r="AP16" s="2200"/>
      <c r="AQ16" s="2200"/>
      <c r="AR16" s="2200"/>
      <c r="AS16" s="2200"/>
      <c r="AT16" s="2200"/>
      <c r="AU16" s="2200"/>
      <c r="AV16" s="2200"/>
      <c r="AW16" s="2200"/>
      <c r="AX16" s="2200"/>
      <c r="AY16" s="2200"/>
      <c r="AZ16" s="2200"/>
      <c r="BA16" s="2200"/>
      <c r="BB16" s="2200"/>
      <c r="BC16" s="2200"/>
      <c r="BD16" s="2200"/>
      <c r="BE16" s="2200"/>
      <c r="BF16" s="2200"/>
      <c r="BG16" s="2200"/>
      <c r="BH16" s="2200"/>
      <c r="BI16" s="2200"/>
      <c r="BJ16" s="2200"/>
      <c r="BK16" s="2200"/>
      <c r="BL16" s="2200"/>
      <c r="BM16" s="2180">
        <v>11</v>
      </c>
    </row>
    <row customHeight="1" ht="15">
      <c r="D17" s="2809" t="s">
        <v>102</v>
      </c>
      <c r="E17" s="2805" t="s">
        <v>311</v>
      </c>
      <c r="F17" s="2805" t="s">
        <v>313</v>
      </c>
      <c r="G17" s="2811" t="s">
        <v>19</v>
      </c>
      <c r="H17" s="2225"/>
      <c r="I17" s="2807"/>
      <c r="J17" s="2778"/>
      <c r="K17" s="2140"/>
      <c r="L17" s="2763"/>
      <c r="M17" s="2763"/>
      <c r="N17" s="2210"/>
      <c r="O17" s="2763"/>
      <c r="P17" s="2778"/>
      <c r="Q17" s="2211"/>
      <c r="R17" s="2763"/>
      <c r="S17" s="2763"/>
      <c r="T17" s="2212"/>
      <c r="U17" s="2763"/>
      <c r="V17" s="2778"/>
      <c r="W17" s="2213"/>
      <c r="X17" s="2763"/>
      <c r="Y17" s="2763"/>
      <c r="Z17" s="2210"/>
      <c r="AA17" s="2763"/>
      <c r="AB17" s="2778"/>
      <c r="AC17" s="2214"/>
      <c r="AD17" s="2763"/>
      <c r="AE17" s="2763"/>
      <c r="AF17" s="2139"/>
      <c r="AG17" s="2139"/>
      <c r="AH17" s="2215"/>
      <c r="AI17" s="1922"/>
      <c r="AJ17" s="2200"/>
      <c r="BM17" s="919">
        <v>14</v>
      </c>
    </row>
    <row customHeight="1" ht="14.699999999999998">
      <c r="D18" s="2809"/>
      <c r="E18" s="2805"/>
      <c r="F18" s="2805"/>
      <c r="G18" s="2812"/>
      <c r="H18" s="2226"/>
      <c r="I18" s="2808"/>
      <c r="J18" s="2779"/>
      <c r="K18" s="2209"/>
      <c r="L18" s="2764"/>
      <c r="M18" s="2764"/>
      <c r="N18" s="2216"/>
      <c r="O18" s="2764"/>
      <c r="P18" s="2779"/>
      <c r="Q18" s="2217"/>
      <c r="R18" s="2764"/>
      <c r="S18" s="2764"/>
      <c r="T18" s="2218"/>
      <c r="U18" s="2764"/>
      <c r="V18" s="2779"/>
      <c r="W18" s="2219"/>
      <c r="X18" s="2764"/>
      <c r="Y18" s="2764"/>
      <c r="Z18" s="2216"/>
      <c r="AA18" s="2764"/>
      <c r="AB18" s="2779"/>
      <c r="AC18" s="2220"/>
      <c r="AD18" s="2764"/>
      <c r="AE18" s="2764"/>
      <c r="AF18" s="2221"/>
      <c r="AG18" s="2221"/>
      <c r="AH18" s="2803"/>
      <c r="AI18" s="2804"/>
      <c r="AJ18" s="2200"/>
      <c r="BM18" s="919">
        <v>14</v>
      </c>
    </row>
    <row customHeight="1" ht="14.699999999999998">
      <c r="D19" s="2809"/>
      <c r="E19" s="2805"/>
      <c r="F19" s="2805"/>
      <c r="G19" s="2812"/>
      <c r="H19" s="2226"/>
      <c r="I19" s="2808"/>
      <c r="J19" s="2779"/>
      <c r="K19" s="2209"/>
      <c r="L19" s="2764"/>
      <c r="M19" s="2764"/>
      <c r="N19" s="2216"/>
      <c r="O19" s="2764"/>
      <c r="P19" s="2779"/>
      <c r="Q19" s="2217"/>
      <c r="R19" s="2764"/>
      <c r="S19" s="2764"/>
      <c r="T19" s="2218"/>
      <c r="U19" s="2764"/>
      <c r="V19" s="2779"/>
      <c r="W19" s="2219"/>
      <c r="X19" s="2764"/>
      <c r="Y19" s="2764"/>
      <c r="Z19" s="2138"/>
      <c r="AA19" s="2221"/>
      <c r="AB19" s="2803"/>
      <c r="AC19" s="2803"/>
      <c r="AD19" s="2803"/>
      <c r="AE19" s="2803"/>
      <c r="AF19" s="2803"/>
      <c r="AG19" s="2803"/>
      <c r="AH19" s="2803"/>
      <c r="AI19" s="2804"/>
      <c r="AJ19" s="2200"/>
      <c r="BM19" s="919">
        <v>14</v>
      </c>
    </row>
    <row customHeight="1" ht="14.699999999999998">
      <c r="D20" s="2809"/>
      <c r="E20" s="2805"/>
      <c r="F20" s="2805"/>
      <c r="G20" s="2812"/>
      <c r="H20" s="2226"/>
      <c r="I20" s="2808"/>
      <c r="J20" s="2779"/>
      <c r="K20" s="2209"/>
      <c r="L20" s="2764"/>
      <c r="M20" s="2764"/>
      <c r="N20" s="2216"/>
      <c r="O20" s="2764"/>
      <c r="P20" s="2779"/>
      <c r="Q20" s="2217"/>
      <c r="R20" s="2764"/>
      <c r="S20" s="2764"/>
      <c r="T20" s="2222"/>
      <c r="U20" s="2223"/>
      <c r="V20" s="2803"/>
      <c r="W20" s="2803"/>
      <c r="X20" s="2803"/>
      <c r="Y20" s="2803"/>
      <c r="Z20" s="2803"/>
      <c r="AA20" s="2803"/>
      <c r="AB20" s="2803"/>
      <c r="AC20" s="2803"/>
      <c r="AD20" s="2803"/>
      <c r="AE20" s="2803"/>
      <c r="AF20" s="2803"/>
      <c r="AG20" s="2803"/>
      <c r="AH20" s="2803"/>
      <c r="AI20" s="2804"/>
      <c r="AJ20" s="2200"/>
      <c r="BM20" s="919">
        <v>14</v>
      </c>
    </row>
    <row customHeight="1" ht="11.549999999999999">
      <c r="D21" s="2809"/>
      <c r="E21" s="2805"/>
      <c r="F21" s="2805"/>
      <c r="G21" s="2812"/>
      <c r="H21" s="2227"/>
      <c r="I21" s="2808"/>
      <c r="J21" s="2779"/>
      <c r="K21" s="2209"/>
      <c r="L21" s="2764"/>
      <c r="M21" s="2764"/>
      <c r="N21" s="2221"/>
      <c r="O21" s="2221"/>
      <c r="P21" s="2803"/>
      <c r="Q21" s="2803"/>
      <c r="R21" s="2803"/>
      <c r="S21" s="2803"/>
      <c r="T21" s="2803"/>
      <c r="U21" s="2803"/>
      <c r="V21" s="2803"/>
      <c r="W21" s="2803"/>
      <c r="X21" s="2803"/>
      <c r="Y21" s="2803"/>
      <c r="Z21" s="2803"/>
      <c r="AA21" s="2803"/>
      <c r="AB21" s="2803"/>
      <c r="AC21" s="2803"/>
      <c r="AD21" s="2803"/>
      <c r="AE21" s="2803"/>
      <c r="AF21" s="2803"/>
      <c r="AG21" s="2803"/>
      <c r="AH21" s="2803"/>
      <c r="AI21" s="2804"/>
      <c r="AJ21" s="2200"/>
      <c r="BM21" s="919">
        <v>11</v>
      </c>
    </row>
    <row s="34991" customFormat="1" customHeight="1" ht="11.549999999999999">
      <c r="D22" s="2815"/>
      <c r="E22" s="2816"/>
      <c r="F22" s="2806"/>
      <c r="G22" s="2738"/>
      <c r="H22" s="2224"/>
      <c r="I22" s="2228"/>
      <c r="J22" s="2813"/>
      <c r="K22" s="2813"/>
      <c r="L22" s="2813"/>
      <c r="M22" s="2813"/>
      <c r="N22" s="2813"/>
      <c r="O22" s="2813"/>
      <c r="P22" s="2813"/>
      <c r="Q22" s="2813"/>
      <c r="R22" s="2813"/>
      <c r="S22" s="2813"/>
      <c r="T22" s="2813"/>
      <c r="U22" s="2813"/>
      <c r="V22" s="2813"/>
      <c r="W22" s="2813"/>
      <c r="X22" s="2813"/>
      <c r="Y22" s="2813"/>
      <c r="Z22" s="2813"/>
      <c r="AA22" s="2813"/>
      <c r="AB22" s="2813"/>
      <c r="AC22" s="2813"/>
      <c r="AD22" s="2813"/>
      <c r="AE22" s="2813"/>
      <c r="AF22" s="2813"/>
      <c r="AG22" s="2813"/>
      <c r="AH22" s="2813"/>
      <c r="AI22" s="2814"/>
      <c r="AJ22" s="2200"/>
      <c r="AK22" s="932"/>
      <c r="AL22" s="2200"/>
      <c r="AM22" s="2200"/>
      <c r="AN22" s="2200"/>
      <c r="AO22" s="2200"/>
      <c r="AP22" s="2200"/>
      <c r="AQ22" s="2200"/>
      <c r="AR22" s="2200"/>
      <c r="AS22" s="2200"/>
      <c r="AT22" s="2200"/>
      <c r="AU22" s="2200"/>
      <c r="AV22" s="2200"/>
      <c r="AW22" s="2200"/>
      <c r="AX22" s="2200"/>
      <c r="AY22" s="2200"/>
      <c r="AZ22" s="2200"/>
      <c r="BA22" s="2200"/>
      <c r="BB22" s="2200"/>
      <c r="BC22" s="2200"/>
      <c r="BD22" s="2200"/>
      <c r="BE22" s="2200"/>
      <c r="BF22" s="2200"/>
      <c r="BG22" s="2200"/>
      <c r="BH22" s="2200"/>
      <c r="BI22" s="2200"/>
      <c r="BJ22" s="2200"/>
      <c r="BK22" s="2200"/>
      <c r="BL22" s="2200"/>
      <c r="BM22" s="2180">
        <v>11</v>
      </c>
    </row>
    <row customHeight="1" ht="15">
      <c r="D23" s="2809" t="s">
        <v>90</v>
      </c>
      <c r="E23" s="2805" t="s">
        <v>311</v>
      </c>
      <c r="F23" s="2805" t="s">
        <v>314</v>
      </c>
      <c r="G23" s="2811" t="s">
        <v>19</v>
      </c>
      <c r="H23" s="2225"/>
      <c r="I23" s="2807"/>
      <c r="J23" s="2778"/>
      <c r="K23" s="2140"/>
      <c r="L23" s="2763"/>
      <c r="M23" s="2763"/>
      <c r="N23" s="2210"/>
      <c r="O23" s="2763"/>
      <c r="P23" s="2778"/>
      <c r="Q23" s="2211"/>
      <c r="R23" s="2763"/>
      <c r="S23" s="2763"/>
      <c r="T23" s="2212"/>
      <c r="U23" s="2763"/>
      <c r="V23" s="2778"/>
      <c r="W23" s="2213"/>
      <c r="X23" s="2763"/>
      <c r="Y23" s="2763"/>
      <c r="Z23" s="2210"/>
      <c r="AA23" s="2763"/>
      <c r="AB23" s="2778"/>
      <c r="AC23" s="2214"/>
      <c r="AD23" s="2763"/>
      <c r="AE23" s="2763"/>
      <c r="AF23" s="2139"/>
      <c r="AG23" s="2139"/>
      <c r="AH23" s="2215"/>
      <c r="AI23" s="1922"/>
      <c r="AJ23" s="2200"/>
      <c r="AK23" s="932" t="s">
        <v>98</v>
      </c>
      <c r="BM23" s="919">
        <v>14</v>
      </c>
    </row>
    <row customHeight="1" ht="14.699999999999998">
      <c r="D24" s="2809"/>
      <c r="E24" s="2805"/>
      <c r="F24" s="2805"/>
      <c r="G24" s="2812"/>
      <c r="H24" s="2226"/>
      <c r="I24" s="2808"/>
      <c r="J24" s="2779"/>
      <c r="K24" s="2236"/>
      <c r="L24" s="2764"/>
      <c r="M24" s="2764"/>
      <c r="N24" s="2216"/>
      <c r="O24" s="2764"/>
      <c r="P24" s="2779"/>
      <c r="Q24" s="2217"/>
      <c r="R24" s="2764"/>
      <c r="S24" s="2764"/>
      <c r="T24" s="2218"/>
      <c r="U24" s="2764"/>
      <c r="V24" s="2779"/>
      <c r="W24" s="2219"/>
      <c r="X24" s="2764"/>
      <c r="Y24" s="2764"/>
      <c r="Z24" s="2216"/>
      <c r="AA24" s="2764"/>
      <c r="AB24" s="2779"/>
      <c r="AC24" s="2220"/>
      <c r="AD24" s="2764"/>
      <c r="AE24" s="2764"/>
      <c r="AF24" s="2221"/>
      <c r="AG24" s="2221"/>
      <c r="AH24" s="2803"/>
      <c r="AI24" s="2804"/>
      <c r="AJ24" s="2200"/>
      <c r="BM24" s="919">
        <v>14</v>
      </c>
    </row>
    <row customHeight="1" ht="14.699999999999998">
      <c r="D25" s="2809"/>
      <c r="E25" s="2805"/>
      <c r="F25" s="2805"/>
      <c r="G25" s="2812"/>
      <c r="H25" s="2226"/>
      <c r="I25" s="2808"/>
      <c r="J25" s="2779"/>
      <c r="K25" s="2236"/>
      <c r="L25" s="2764"/>
      <c r="M25" s="2764"/>
      <c r="N25" s="2216"/>
      <c r="O25" s="2764"/>
      <c r="P25" s="2779"/>
      <c r="Q25" s="2217"/>
      <c r="R25" s="2764"/>
      <c r="S25" s="2764"/>
      <c r="T25" s="2218"/>
      <c r="U25" s="2764"/>
      <c r="V25" s="2779"/>
      <c r="W25" s="2219"/>
      <c r="X25" s="2764"/>
      <c r="Y25" s="2764"/>
      <c r="Z25" s="2138"/>
      <c r="AA25" s="2221"/>
      <c r="AB25" s="2803"/>
      <c r="AC25" s="2803"/>
      <c r="AD25" s="2803"/>
      <c r="AE25" s="2803"/>
      <c r="AF25" s="2803"/>
      <c r="AG25" s="2803"/>
      <c r="AH25" s="2803"/>
      <c r="AI25" s="2804"/>
      <c r="AJ25" s="2200"/>
      <c r="BM25" s="919">
        <v>14</v>
      </c>
    </row>
    <row customHeight="1" ht="14.699999999999998">
      <c r="D26" s="2809"/>
      <c r="E26" s="2805"/>
      <c r="F26" s="2805"/>
      <c r="G26" s="2812"/>
      <c r="H26" s="2226"/>
      <c r="I26" s="2808"/>
      <c r="J26" s="2779"/>
      <c r="K26" s="2236"/>
      <c r="L26" s="2764"/>
      <c r="M26" s="2764"/>
      <c r="N26" s="2216"/>
      <c r="O26" s="2764"/>
      <c r="P26" s="2779"/>
      <c r="Q26" s="2217"/>
      <c r="R26" s="2764"/>
      <c r="S26" s="2764"/>
      <c r="T26" s="2222"/>
      <c r="U26" s="2223"/>
      <c r="V26" s="2803"/>
      <c r="W26" s="2803"/>
      <c r="X26" s="2803"/>
      <c r="Y26" s="2803"/>
      <c r="Z26" s="2803"/>
      <c r="AA26" s="2803"/>
      <c r="AB26" s="2803"/>
      <c r="AC26" s="2803"/>
      <c r="AD26" s="2803"/>
      <c r="AE26" s="2803"/>
      <c r="AF26" s="2803"/>
      <c r="AG26" s="2803"/>
      <c r="AH26" s="2803"/>
      <c r="AI26" s="2804"/>
      <c r="AJ26" s="2200"/>
      <c r="BM26" s="919">
        <v>14</v>
      </c>
    </row>
    <row customHeight="1" ht="11.549999999999999">
      <c r="D27" s="2809"/>
      <c r="E27" s="2805"/>
      <c r="F27" s="2805"/>
      <c r="G27" s="2812"/>
      <c r="H27" s="2227"/>
      <c r="I27" s="2808"/>
      <c r="J27" s="2779"/>
      <c r="K27" s="2236"/>
      <c r="L27" s="2764"/>
      <c r="M27" s="2764"/>
      <c r="N27" s="2221"/>
      <c r="O27" s="2221"/>
      <c r="P27" s="2803"/>
      <c r="Q27" s="2803"/>
      <c r="R27" s="2803"/>
      <c r="S27" s="2803"/>
      <c r="T27" s="2803"/>
      <c r="U27" s="2803"/>
      <c r="V27" s="2803"/>
      <c r="W27" s="2803"/>
      <c r="X27" s="2803"/>
      <c r="Y27" s="2803"/>
      <c r="Z27" s="2803"/>
      <c r="AA27" s="2803"/>
      <c r="AB27" s="2803"/>
      <c r="AC27" s="2803"/>
      <c r="AD27" s="2803"/>
      <c r="AE27" s="2803"/>
      <c r="AF27" s="2803"/>
      <c r="AG27" s="2803"/>
      <c r="AH27" s="2803"/>
      <c r="AI27" s="2804"/>
      <c r="AJ27" s="2200"/>
      <c r="BM27" s="919">
        <v>11</v>
      </c>
    </row>
    <row s="34991" customFormat="1" customHeight="1" ht="11.549999999999999">
      <c r="D28" s="2815"/>
      <c r="E28" s="2816"/>
      <c r="F28" s="2806"/>
      <c r="G28" s="2738"/>
      <c r="H28" s="2224"/>
      <c r="I28" s="2228"/>
      <c r="J28" s="2813"/>
      <c r="K28" s="2813"/>
      <c r="L28" s="2813"/>
      <c r="M28" s="2813"/>
      <c r="N28" s="2813"/>
      <c r="O28" s="2813"/>
      <c r="P28" s="2813"/>
      <c r="Q28" s="2813"/>
      <c r="R28" s="2813"/>
      <c r="S28" s="2813"/>
      <c r="T28" s="2813"/>
      <c r="U28" s="2813"/>
      <c r="V28" s="2813"/>
      <c r="W28" s="2813"/>
      <c r="X28" s="2813"/>
      <c r="Y28" s="2813"/>
      <c r="Z28" s="2813"/>
      <c r="AA28" s="2813"/>
      <c r="AB28" s="2813"/>
      <c r="AC28" s="2813"/>
      <c r="AD28" s="2813"/>
      <c r="AE28" s="2813"/>
      <c r="AF28" s="2813"/>
      <c r="AG28" s="2813"/>
      <c r="AH28" s="2813"/>
      <c r="AI28" s="2814"/>
      <c r="AJ28" s="2200"/>
      <c r="AK28" s="932"/>
      <c r="AL28" s="2200"/>
      <c r="AM28" s="2200"/>
      <c r="AN28" s="2200"/>
      <c r="AO28" s="2200"/>
      <c r="AP28" s="2200"/>
      <c r="AQ28" s="2200"/>
      <c r="AR28" s="2200"/>
      <c r="AS28" s="2200"/>
      <c r="AT28" s="2200"/>
      <c r="AU28" s="2200"/>
      <c r="AV28" s="2200"/>
      <c r="AW28" s="2200"/>
      <c r="AX28" s="2200"/>
      <c r="AY28" s="2200"/>
      <c r="AZ28" s="2200"/>
      <c r="BA28" s="2200"/>
      <c r="BB28" s="2200"/>
      <c r="BC28" s="2200"/>
      <c r="BD28" s="2200"/>
      <c r="BE28" s="2200"/>
      <c r="BF28" s="2200"/>
      <c r="BG28" s="2200"/>
      <c r="BH28" s="2200"/>
      <c r="BI28" s="2200"/>
      <c r="BJ28" s="2200"/>
      <c r="BK28" s="2200"/>
      <c r="BL28" s="2200"/>
      <c r="BM28" s="2180">
        <v>11</v>
      </c>
    </row>
    <row customHeight="1" ht="15">
      <c r="D29" s="2809" t="s">
        <v>91</v>
      </c>
      <c r="E29" s="2805" t="s">
        <v>311</v>
      </c>
      <c r="F29" s="2805" t="s">
        <v>315</v>
      </c>
      <c r="G29" s="2811" t="s">
        <v>19</v>
      </c>
      <c r="H29" s="2225"/>
      <c r="I29" s="2807"/>
      <c r="J29" s="2778"/>
      <c r="K29" s="2140"/>
      <c r="L29" s="2763"/>
      <c r="M29" s="2763"/>
      <c r="N29" s="2210"/>
      <c r="O29" s="2763"/>
      <c r="P29" s="2778"/>
      <c r="Q29" s="2211"/>
      <c r="R29" s="2763"/>
      <c r="S29" s="2763"/>
      <c r="T29" s="2212"/>
      <c r="U29" s="2763"/>
      <c r="V29" s="2778"/>
      <c r="W29" s="2213"/>
      <c r="X29" s="2763"/>
      <c r="Y29" s="2763"/>
      <c r="Z29" s="2210"/>
      <c r="AA29" s="2763"/>
      <c r="AB29" s="2778"/>
      <c r="AC29" s="2214"/>
      <c r="AD29" s="2763"/>
      <c r="AE29" s="2763"/>
      <c r="AF29" s="2139"/>
      <c r="AG29" s="2139"/>
      <c r="AH29" s="2215"/>
      <c r="AI29" s="1922"/>
      <c r="AJ29" s="2200"/>
      <c r="BM29" s="919">
        <v>14</v>
      </c>
    </row>
    <row customHeight="1" ht="14.699999999999998">
      <c r="D30" s="2809"/>
      <c r="E30" s="2805"/>
      <c r="F30" s="2805"/>
      <c r="G30" s="2812"/>
      <c r="H30" s="2226"/>
      <c r="I30" s="2808"/>
      <c r="J30" s="2779"/>
      <c r="K30" s="2209"/>
      <c r="L30" s="2764"/>
      <c r="M30" s="2764"/>
      <c r="N30" s="2216"/>
      <c r="O30" s="2764"/>
      <c r="P30" s="2779"/>
      <c r="Q30" s="2217"/>
      <c r="R30" s="2764"/>
      <c r="S30" s="2764"/>
      <c r="T30" s="2218"/>
      <c r="U30" s="2764"/>
      <c r="V30" s="2779"/>
      <c r="W30" s="2219"/>
      <c r="X30" s="2764"/>
      <c r="Y30" s="2764"/>
      <c r="Z30" s="2216"/>
      <c r="AA30" s="2764"/>
      <c r="AB30" s="2779"/>
      <c r="AC30" s="2220"/>
      <c r="AD30" s="2764"/>
      <c r="AE30" s="2764"/>
      <c r="AF30" s="2221"/>
      <c r="AG30" s="2221"/>
      <c r="AH30" s="2803"/>
      <c r="AI30" s="2804"/>
      <c r="AJ30" s="2200"/>
      <c r="BM30" s="919">
        <v>14</v>
      </c>
    </row>
    <row customHeight="1" ht="14.699999999999998">
      <c r="D31" s="2809"/>
      <c r="E31" s="2805"/>
      <c r="F31" s="2805"/>
      <c r="G31" s="2812"/>
      <c r="H31" s="2226"/>
      <c r="I31" s="2808"/>
      <c r="J31" s="2779"/>
      <c r="K31" s="2209"/>
      <c r="L31" s="2764"/>
      <c r="M31" s="2764"/>
      <c r="N31" s="2216"/>
      <c r="O31" s="2764"/>
      <c r="P31" s="2779"/>
      <c r="Q31" s="2217"/>
      <c r="R31" s="2764"/>
      <c r="S31" s="2764"/>
      <c r="T31" s="2218"/>
      <c r="U31" s="2764"/>
      <c r="V31" s="2779"/>
      <c r="W31" s="2219"/>
      <c r="X31" s="2764"/>
      <c r="Y31" s="2764"/>
      <c r="Z31" s="2138"/>
      <c r="AA31" s="2221"/>
      <c r="AB31" s="2803"/>
      <c r="AC31" s="2803"/>
      <c r="AD31" s="2803"/>
      <c r="AE31" s="2803"/>
      <c r="AF31" s="2803"/>
      <c r="AG31" s="2803"/>
      <c r="AH31" s="2803"/>
      <c r="AI31" s="2804"/>
      <c r="AJ31" s="2200"/>
      <c r="BM31" s="919">
        <v>14</v>
      </c>
    </row>
    <row customHeight="1" ht="14.699999999999998">
      <c r="D32" s="2809"/>
      <c r="E32" s="2805"/>
      <c r="F32" s="2805"/>
      <c r="G32" s="2812"/>
      <c r="H32" s="2226"/>
      <c r="I32" s="2808"/>
      <c r="J32" s="2779"/>
      <c r="K32" s="2209"/>
      <c r="L32" s="2764"/>
      <c r="M32" s="2764"/>
      <c r="N32" s="2216"/>
      <c r="O32" s="2764"/>
      <c r="P32" s="2779"/>
      <c r="Q32" s="2217"/>
      <c r="R32" s="2764"/>
      <c r="S32" s="2764"/>
      <c r="T32" s="2222"/>
      <c r="U32" s="2223"/>
      <c r="V32" s="2803"/>
      <c r="W32" s="2803"/>
      <c r="X32" s="2803"/>
      <c r="Y32" s="2803"/>
      <c r="Z32" s="2803"/>
      <c r="AA32" s="2803"/>
      <c r="AB32" s="2803"/>
      <c r="AC32" s="2803"/>
      <c r="AD32" s="2803"/>
      <c r="AE32" s="2803"/>
      <c r="AF32" s="2803"/>
      <c r="AG32" s="2803"/>
      <c r="AH32" s="2803"/>
      <c r="AI32" s="2804"/>
      <c r="AJ32" s="2200"/>
      <c r="BM32" s="919">
        <v>14</v>
      </c>
    </row>
    <row customHeight="1" ht="11.549999999999999">
      <c r="D33" s="2809"/>
      <c r="E33" s="2805"/>
      <c r="F33" s="2805"/>
      <c r="G33" s="2812"/>
      <c r="H33" s="2227"/>
      <c r="I33" s="2808"/>
      <c r="J33" s="2779"/>
      <c r="K33" s="2209"/>
      <c r="L33" s="2764"/>
      <c r="M33" s="2764"/>
      <c r="N33" s="2221"/>
      <c r="O33" s="2221"/>
      <c r="P33" s="2803"/>
      <c r="Q33" s="2803"/>
      <c r="R33" s="2803"/>
      <c r="S33" s="2803"/>
      <c r="T33" s="2803"/>
      <c r="U33" s="2803"/>
      <c r="V33" s="2803"/>
      <c r="W33" s="2803"/>
      <c r="X33" s="2803"/>
      <c r="Y33" s="2803"/>
      <c r="Z33" s="2803"/>
      <c r="AA33" s="2803"/>
      <c r="AB33" s="2803"/>
      <c r="AC33" s="2803"/>
      <c r="AD33" s="2803"/>
      <c r="AE33" s="2803"/>
      <c r="AF33" s="2803"/>
      <c r="AG33" s="2803"/>
      <c r="AH33" s="2803"/>
      <c r="AI33" s="2804"/>
      <c r="AJ33" s="2200"/>
      <c r="BM33" s="919">
        <v>11</v>
      </c>
    </row>
    <row s="34991" customFormat="1" customHeight="1" ht="11.549999999999999">
      <c r="D34" s="2815"/>
      <c r="E34" s="2816"/>
      <c r="F34" s="2806"/>
      <c r="G34" s="2738"/>
      <c r="H34" s="2224"/>
      <c r="I34" s="2228"/>
      <c r="J34" s="2813"/>
      <c r="K34" s="2813"/>
      <c r="L34" s="2813"/>
      <c r="M34" s="2813"/>
      <c r="N34" s="2813"/>
      <c r="O34" s="2813"/>
      <c r="P34" s="2813"/>
      <c r="Q34" s="2813"/>
      <c r="R34" s="2813"/>
      <c r="S34" s="2813"/>
      <c r="T34" s="2813"/>
      <c r="U34" s="2813"/>
      <c r="V34" s="2813"/>
      <c r="W34" s="2813"/>
      <c r="X34" s="2813"/>
      <c r="Y34" s="2813"/>
      <c r="Z34" s="2813"/>
      <c r="AA34" s="2813"/>
      <c r="AB34" s="2813"/>
      <c r="AC34" s="2813"/>
      <c r="AD34" s="2813"/>
      <c r="AE34" s="2813"/>
      <c r="AF34" s="2813"/>
      <c r="AG34" s="2813"/>
      <c r="AH34" s="2813"/>
      <c r="AI34" s="2814"/>
      <c r="AJ34" s="2200"/>
      <c r="AK34" s="932"/>
      <c r="AL34" s="2200"/>
      <c r="AM34" s="2200"/>
      <c r="AN34" s="2200"/>
      <c r="AO34" s="2200"/>
      <c r="AP34" s="2200"/>
      <c r="AQ34" s="2200"/>
      <c r="AR34" s="2200"/>
      <c r="AS34" s="2200"/>
      <c r="AT34" s="2200"/>
      <c r="AU34" s="2200"/>
      <c r="AV34" s="2200"/>
      <c r="AW34" s="2200"/>
      <c r="AX34" s="2200"/>
      <c r="AY34" s="2200"/>
      <c r="AZ34" s="2200"/>
      <c r="BA34" s="2200"/>
      <c r="BB34" s="2200"/>
      <c r="BC34" s="2200"/>
      <c r="BD34" s="2200"/>
      <c r="BE34" s="2200"/>
      <c r="BF34" s="2200"/>
      <c r="BG34" s="2200"/>
      <c r="BH34" s="2200"/>
      <c r="BI34" s="2200"/>
      <c r="BJ34" s="2200"/>
      <c r="BK34" s="2200"/>
      <c r="BL34" s="2200"/>
      <c r="BM34" s="2180">
        <v>11</v>
      </c>
    </row>
    <row customHeight="1" ht="15">
      <c r="D35" s="2809" t="s">
        <v>119</v>
      </c>
      <c r="E35" s="2805" t="s">
        <v>311</v>
      </c>
      <c r="F35" s="2805" t="s">
        <v>316</v>
      </c>
      <c r="G35" s="2811" t="s">
        <v>19</v>
      </c>
      <c r="H35" s="2225"/>
      <c r="I35" s="2807"/>
      <c r="J35" s="2778"/>
      <c r="K35" s="2140"/>
      <c r="L35" s="2763"/>
      <c r="M35" s="2763"/>
      <c r="N35" s="2210"/>
      <c r="O35" s="2763"/>
      <c r="P35" s="2778"/>
      <c r="Q35" s="2211"/>
      <c r="R35" s="2763"/>
      <c r="S35" s="2763"/>
      <c r="T35" s="2212"/>
      <c r="U35" s="2763"/>
      <c r="V35" s="2778"/>
      <c r="W35" s="2213"/>
      <c r="X35" s="2763"/>
      <c r="Y35" s="2763"/>
      <c r="Z35" s="2210"/>
      <c r="AA35" s="2763"/>
      <c r="AB35" s="2778"/>
      <c r="AC35" s="2214"/>
      <c r="AD35" s="2763"/>
      <c r="AE35" s="2763"/>
      <c r="AF35" s="2139"/>
      <c r="AG35" s="2139"/>
      <c r="AH35" s="2215"/>
      <c r="AI35" s="1922"/>
      <c r="AJ35" s="2200"/>
      <c r="BM35" s="919">
        <v>14</v>
      </c>
    </row>
    <row customHeight="1" ht="14.699999999999998">
      <c r="D36" s="2809"/>
      <c r="E36" s="2805"/>
      <c r="F36" s="2805"/>
      <c r="G36" s="2812"/>
      <c r="H36" s="2226"/>
      <c r="I36" s="2808"/>
      <c r="J36" s="2779"/>
      <c r="K36" s="2209"/>
      <c r="L36" s="2764"/>
      <c r="M36" s="2764"/>
      <c r="N36" s="2216"/>
      <c r="O36" s="2764"/>
      <c r="P36" s="2779"/>
      <c r="Q36" s="2217"/>
      <c r="R36" s="2764"/>
      <c r="S36" s="2764"/>
      <c r="T36" s="2218"/>
      <c r="U36" s="2764"/>
      <c r="V36" s="2779"/>
      <c r="W36" s="2219"/>
      <c r="X36" s="2764"/>
      <c r="Y36" s="2764"/>
      <c r="Z36" s="2216"/>
      <c r="AA36" s="2764"/>
      <c r="AB36" s="2779"/>
      <c r="AC36" s="2220"/>
      <c r="AD36" s="2764"/>
      <c r="AE36" s="2764"/>
      <c r="AF36" s="2221"/>
      <c r="AG36" s="2221"/>
      <c r="AH36" s="2803"/>
      <c r="AI36" s="2804"/>
      <c r="AJ36" s="2200"/>
      <c r="BM36" s="919">
        <v>14</v>
      </c>
    </row>
    <row customHeight="1" ht="14.699999999999998">
      <c r="D37" s="2809"/>
      <c r="E37" s="2805"/>
      <c r="F37" s="2805"/>
      <c r="G37" s="2812"/>
      <c r="H37" s="2226"/>
      <c r="I37" s="2808"/>
      <c r="J37" s="2779"/>
      <c r="K37" s="2209"/>
      <c r="L37" s="2764"/>
      <c r="M37" s="2764"/>
      <c r="N37" s="2216"/>
      <c r="O37" s="2764"/>
      <c r="P37" s="2779"/>
      <c r="Q37" s="2217"/>
      <c r="R37" s="2764"/>
      <c r="S37" s="2764"/>
      <c r="T37" s="2218"/>
      <c r="U37" s="2764"/>
      <c r="V37" s="2779"/>
      <c r="W37" s="2219"/>
      <c r="X37" s="2764"/>
      <c r="Y37" s="2764"/>
      <c r="Z37" s="2138"/>
      <c r="AA37" s="2221"/>
      <c r="AB37" s="2803"/>
      <c r="AC37" s="2803"/>
      <c r="AD37" s="2803"/>
      <c r="AE37" s="2803"/>
      <c r="AF37" s="2803"/>
      <c r="AG37" s="2803"/>
      <c r="AH37" s="2803"/>
      <c r="AI37" s="2804"/>
      <c r="AJ37" s="2200"/>
      <c r="BM37" s="919">
        <v>14</v>
      </c>
    </row>
    <row customHeight="1" ht="14.699999999999998">
      <c r="D38" s="2809"/>
      <c r="E38" s="2805"/>
      <c r="F38" s="2805"/>
      <c r="G38" s="2812"/>
      <c r="H38" s="2226"/>
      <c r="I38" s="2808"/>
      <c r="J38" s="2779"/>
      <c r="K38" s="2209"/>
      <c r="L38" s="2764"/>
      <c r="M38" s="2764"/>
      <c r="N38" s="2216"/>
      <c r="O38" s="2764"/>
      <c r="P38" s="2779"/>
      <c r="Q38" s="2217"/>
      <c r="R38" s="2764"/>
      <c r="S38" s="2764"/>
      <c r="T38" s="2222"/>
      <c r="U38" s="2223"/>
      <c r="V38" s="2803"/>
      <c r="W38" s="2803"/>
      <c r="X38" s="2803"/>
      <c r="Y38" s="2803"/>
      <c r="Z38" s="2803"/>
      <c r="AA38" s="2803"/>
      <c r="AB38" s="2803"/>
      <c r="AC38" s="2803"/>
      <c r="AD38" s="2803"/>
      <c r="AE38" s="2803"/>
      <c r="AF38" s="2803"/>
      <c r="AG38" s="2803"/>
      <c r="AH38" s="2803"/>
      <c r="AI38" s="2804"/>
      <c r="AJ38" s="2200"/>
      <c r="BM38" s="919">
        <v>14</v>
      </c>
    </row>
    <row customHeight="1" ht="11.549999999999999">
      <c r="D39" s="2809"/>
      <c r="E39" s="2805"/>
      <c r="F39" s="2805"/>
      <c r="G39" s="2812"/>
      <c r="H39" s="2227"/>
      <c r="I39" s="2808"/>
      <c r="J39" s="2779"/>
      <c r="K39" s="2209"/>
      <c r="L39" s="2764"/>
      <c r="M39" s="2764"/>
      <c r="N39" s="2221"/>
      <c r="O39" s="2221"/>
      <c r="P39" s="2803"/>
      <c r="Q39" s="2803"/>
      <c r="R39" s="2803"/>
      <c r="S39" s="2803"/>
      <c r="T39" s="2803"/>
      <c r="U39" s="2803"/>
      <c r="V39" s="2803"/>
      <c r="W39" s="2803"/>
      <c r="X39" s="2803"/>
      <c r="Y39" s="2803"/>
      <c r="Z39" s="2803"/>
      <c r="AA39" s="2803"/>
      <c r="AB39" s="2803"/>
      <c r="AC39" s="2803"/>
      <c r="AD39" s="2803"/>
      <c r="AE39" s="2803"/>
      <c r="AF39" s="2803"/>
      <c r="AG39" s="2803"/>
      <c r="AH39" s="2803"/>
      <c r="AI39" s="2804"/>
      <c r="AJ39" s="2200"/>
      <c r="BM39" s="919">
        <v>11</v>
      </c>
    </row>
    <row s="34991" customFormat="1" customHeight="1" ht="11.549999999999999">
      <c r="D40" s="2809"/>
      <c r="E40" s="2805"/>
      <c r="F40" s="2810"/>
      <c r="G40" s="2738"/>
      <c r="H40" s="2224"/>
      <c r="I40" s="2228"/>
      <c r="J40" s="2813"/>
      <c r="K40" s="2813"/>
      <c r="L40" s="2813"/>
      <c r="M40" s="2813"/>
      <c r="N40" s="2813"/>
      <c r="O40" s="2813"/>
      <c r="P40" s="2813"/>
      <c r="Q40" s="2813"/>
      <c r="R40" s="2813"/>
      <c r="S40" s="2813"/>
      <c r="T40" s="2813"/>
      <c r="U40" s="2813"/>
      <c r="V40" s="2813"/>
      <c r="W40" s="2813"/>
      <c r="X40" s="2813"/>
      <c r="Y40" s="2813"/>
      <c r="Z40" s="2813"/>
      <c r="AA40" s="2813"/>
      <c r="AB40" s="2813"/>
      <c r="AC40" s="2813"/>
      <c r="AD40" s="2813"/>
      <c r="AE40" s="2813"/>
      <c r="AF40" s="2813"/>
      <c r="AG40" s="2813"/>
      <c r="AH40" s="2813"/>
      <c r="AI40" s="2814"/>
      <c r="AJ40" s="2200"/>
      <c r="AK40" s="932"/>
      <c r="AL40" s="2200"/>
      <c r="AM40" s="2200"/>
      <c r="AN40" s="2200"/>
      <c r="AO40" s="2200"/>
      <c r="AP40" s="2200"/>
      <c r="AQ40" s="2200"/>
      <c r="AR40" s="2200"/>
      <c r="AS40" s="2200"/>
      <c r="AT40" s="2200"/>
      <c r="AU40" s="2200"/>
      <c r="AV40" s="2200"/>
      <c r="AW40" s="2200"/>
      <c r="AX40" s="2200"/>
      <c r="AY40" s="2200"/>
      <c r="AZ40" s="2200"/>
      <c r="BA40" s="2200"/>
      <c r="BB40" s="2200"/>
      <c r="BC40" s="2200"/>
      <c r="BD40" s="2200"/>
      <c r="BE40" s="2200"/>
      <c r="BF40" s="2200"/>
      <c r="BG40" s="2200"/>
      <c r="BH40" s="2200"/>
      <c r="BI40" s="2200"/>
      <c r="BJ40" s="2200"/>
      <c r="BK40" s="2200"/>
      <c r="BL40" s="2200"/>
      <c r="BM40" s="2180">
        <v>11</v>
      </c>
    </row>
    <row customHeight="1" ht="11.549999999999999">
      <c r="AK41" s="1049"/>
      <c r="BM41" s="919">
        <v>11</v>
      </c>
    </row>
    <row customHeight="1" ht="11.549999999999999">
      <c r="AK42" s="1049"/>
      <c r="BM42" s="919">
        <v>11</v>
      </c>
    </row>
    <row customHeight="1" ht="11.549999999999999">
      <c r="AK43" s="1049"/>
      <c r="BM43" s="919">
        <v>11</v>
      </c>
    </row>
    <row customHeight="1" ht="11.549999999999999">
      <c r="AK44" s="1049"/>
      <c r="BM44" s="919">
        <v>11</v>
      </c>
    </row>
    <row customHeight="1" ht="11.549999999999999">
      <c r="AK45" s="1049"/>
      <c r="BM45" s="919">
        <v>11</v>
      </c>
    </row>
    <row customHeight="1" ht="11.549999999999999">
      <c r="AK46" s="1049"/>
      <c r="BM46" s="919">
        <v>11</v>
      </c>
    </row>
    <row customHeight="1" ht="11.549999999999999">
      <c r="AK47" s="1049"/>
      <c r="BM47" s="919">
        <v>11</v>
      </c>
    </row>
    <row customHeight="1" ht="11.549999999999999">
      <c r="AK48" s="1049"/>
      <c r="BM48" s="919">
        <v>11</v>
      </c>
    </row>
    <row customHeight="1" ht="11.549999999999999">
      <c r="AK49" s="1049"/>
      <c r="BM49" s="919">
        <v>11</v>
      </c>
    </row>
    <row customHeight="1" ht="11.25" hidden="1">
      <c r="A50" s="919" t="s">
        <v>82</v>
      </c>
      <c r="B50" s="919">
        <v>0</v>
      </c>
      <c r="C50" s="919">
        <v>3</v>
      </c>
      <c r="D50" s="919">
        <v>3</v>
      </c>
      <c r="E50" s="919">
        <v>15</v>
      </c>
      <c r="F50" s="919">
        <v>15</v>
      </c>
      <c r="G50" s="919">
        <v>11</v>
      </c>
      <c r="H50" s="919">
        <v>3</v>
      </c>
      <c r="I50" s="919">
        <v>3</v>
      </c>
      <c r="J50" s="919">
        <v>12</v>
      </c>
      <c r="K50" s="919">
        <v>0</v>
      </c>
      <c r="L50" s="919">
        <v>10</v>
      </c>
      <c r="M50" s="919">
        <v>10</v>
      </c>
      <c r="N50" s="919">
        <v>3</v>
      </c>
      <c r="O50" s="919">
        <v>3</v>
      </c>
      <c r="P50" s="919">
        <v>19</v>
      </c>
      <c r="Q50" s="919">
        <v>0</v>
      </c>
      <c r="R50" s="919">
        <v>10</v>
      </c>
      <c r="S50" s="919">
        <v>10</v>
      </c>
      <c r="T50" s="919">
        <v>3</v>
      </c>
      <c r="U50" s="919">
        <v>3</v>
      </c>
      <c r="V50" s="919">
        <v>25</v>
      </c>
      <c r="W50" s="919">
        <v>0</v>
      </c>
      <c r="X50" s="919">
        <v>10</v>
      </c>
      <c r="Y50" s="919">
        <v>10</v>
      </c>
      <c r="Z50" s="919">
        <v>3</v>
      </c>
      <c r="AA50" s="919">
        <v>3</v>
      </c>
      <c r="AB50" s="919">
        <v>16</v>
      </c>
      <c r="AC50" s="919">
        <v>0</v>
      </c>
      <c r="AD50" s="919">
        <v>10</v>
      </c>
      <c r="AE50" s="919">
        <v>10</v>
      </c>
      <c r="AF50" s="919">
        <v>3</v>
      </c>
      <c r="AG50" s="919">
        <v>3</v>
      </c>
      <c r="AH50" s="919">
        <v>8</v>
      </c>
      <c r="AI50" s="919">
        <v>21</v>
      </c>
      <c r="AJ50" s="1049">
        <v>8</v>
      </c>
      <c r="AK50" s="932">
        <v>8</v>
      </c>
      <c r="AL50" s="1049">
        <v>8</v>
      </c>
      <c r="AM50" s="1049">
        <v>8</v>
      </c>
      <c r="AN50" s="1049">
        <v>8</v>
      </c>
      <c r="AO50" s="1049">
        <v>8</v>
      </c>
      <c r="AP50" s="1049">
        <v>8</v>
      </c>
      <c r="AQ50" s="1049">
        <v>8</v>
      </c>
      <c r="AR50" s="1049">
        <v>8</v>
      </c>
      <c r="AS50" s="1049">
        <v>8</v>
      </c>
      <c r="AT50" s="1049">
        <v>8</v>
      </c>
      <c r="AU50" s="1049">
        <v>8</v>
      </c>
      <c r="AV50" s="1049">
        <v>8</v>
      </c>
      <c r="AW50" s="1049">
        <v>8</v>
      </c>
      <c r="AX50" s="1049">
        <v>8</v>
      </c>
      <c r="AY50" s="1049">
        <v>8</v>
      </c>
      <c r="AZ50" s="1049">
        <v>8</v>
      </c>
      <c r="BA50" s="1049">
        <v>8</v>
      </c>
      <c r="BB50" s="1049">
        <v>8</v>
      </c>
      <c r="BC50" s="1049">
        <v>8</v>
      </c>
      <c r="BD50" s="1049">
        <v>8</v>
      </c>
      <c r="BE50" s="1049">
        <v>8</v>
      </c>
      <c r="BF50" s="1049">
        <v>8</v>
      </c>
      <c r="BG50" s="1049">
        <v>8</v>
      </c>
      <c r="BH50" s="1049">
        <v>8</v>
      </c>
      <c r="BI50" s="1049">
        <v>8</v>
      </c>
      <c r="BJ50" s="1049">
        <v>8</v>
      </c>
      <c r="BK50" s="1049">
        <v>8</v>
      </c>
      <c r="BL50" s="1049">
        <v>8</v>
      </c>
      <c r="BM50" s="919">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32098B-12F5-210B-0B94-770DCE88A8B2}"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34718" width="1.7109375" customWidth="1"/>
    <col min="2" max="2" style="34718" width="34.57421875" customWidth="1"/>
    <col min="3" max="3" style="34718" width="85.00390625" customWidth="1"/>
    <col min="4" max="4" style="34718" width="17.00390625" customWidth="1"/>
    <col min="5" max="5" style="34718" width="8.00390625" customWidth="1"/>
    <col min="6" max="6" style="34718" width="9.140625" hidden="1"/>
  </cols>
  <sheetData>
    <row customHeight="1" ht="3">
      <c r="F1" s="715" t="s">
        <v>14</v>
      </c>
    </row>
    <row customHeight="1" ht="22.5">
      <c r="B2" s="3239" t="s">
        <v>2083</v>
      </c>
      <c r="C2" s="3126"/>
      <c r="D2" s="3126"/>
      <c r="E2" s="894"/>
      <c r="F2" s="715">
        <v>22</v>
      </c>
    </row>
    <row customHeight="1" ht="3">
      <c r="F3" s="715">
        <v>3</v>
      </c>
    </row>
    <row customHeight="1" ht="23.25">
      <c r="B4" s="3240" t="s">
        <v>2084</v>
      </c>
      <c r="C4" s="1009" t="s">
        <v>2085</v>
      </c>
      <c r="D4" s="1009" t="s">
        <v>2086</v>
      </c>
      <c r="F4" s="715">
        <v>22</v>
      </c>
    </row>
    <row customHeight="1" ht="11.25" hidden="1">
      <c r="A5" s="715" t="s">
        <v>82</v>
      </c>
      <c r="B5" s="715">
        <v>34</v>
      </c>
      <c r="C5" s="715">
        <v>85</v>
      </c>
      <c r="D5" s="715">
        <v>17</v>
      </c>
      <c r="E5" s="715">
        <v>8</v>
      </c>
      <c r="F5" s="715">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2938B2-707E-4E6E-37A4-05C2122C9E77}"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34718" width="26.57421875" customWidth="1"/>
    <col min="2" max="2" style="34718" width="10.00390625" customWidth="1"/>
    <col min="3" max="3" style="34718" width="9.140625"/>
    <col min="4" max="4" style="34718" width="11.140625" customWidth="1"/>
    <col min="5" max="5" style="34718" width="16.57421875" customWidth="1"/>
    <col min="6" max="6" style="34718" width="16.28125" customWidth="1"/>
    <col min="7" max="7" style="34718" width="19.140625" customWidth="1"/>
    <col min="8" max="11" style="34718" width="10.00390625" customWidth="1"/>
    <col min="12" max="12" style="34718" width="12.7109375" customWidth="1"/>
    <col min="13" max="13" style="34718" width="61.28125" customWidth="1"/>
    <col min="14" max="14" style="34718" width="10.00390625" customWidth="1"/>
    <col min="15" max="17" style="34718" width="23.7109375" customWidth="1"/>
    <col min="18" max="18" style="34718" width="11.7109375" customWidth="1"/>
    <col min="19" max="19" style="34718" width="8.57421875" customWidth="1"/>
    <col min="20" max="20" style="34718" width="11.7109375" customWidth="1"/>
    <col min="21" max="21" style="34718" width="8.57421875" customWidth="1"/>
    <col min="22" max="22" style="34718" width="4.7109375" customWidth="1"/>
    <col min="23" max="23" style="34718" width="115.7109375" customWidth="1"/>
    <col min="24" max="24" style="34718" width="115.28125" customWidth="1"/>
    <col min="25" max="27" style="34718" width="9.140625"/>
    <col min="28" max="28" style="34718" width="115.7109375" customWidth="1"/>
    <col min="29" max="29" style="34718" width="9.140625"/>
    <col min="30" max="90" style="34718" width="115.7109375" customWidth="1"/>
    <col min="91" max="184" style="34718" width="9.140625"/>
  </cols>
  <sheetData>
    <row r="2" s="37396" customFormat="1" customHeight="1" ht="17.25">
      <c r="A2" s="2441" t="s">
        <v>2087</v>
      </c>
    </row>
    <row r="4" s="37382" customFormat="1" customHeight="1" ht="15">
      <c r="C4" s="2442"/>
      <c r="D4" s="739"/>
      <c r="E4" s="1003"/>
    </row>
    <row r="6" s="37396" customFormat="1" customHeight="1" ht="17.25">
      <c r="A6" s="2441" t="s">
        <v>2088</v>
      </c>
    </row>
    <row r="8" s="37382" customFormat="1" customHeight="1" ht="17.25">
      <c r="C8" s="2443"/>
      <c r="D8" s="739"/>
      <c r="E8" s="740"/>
    </row>
    <row r="11" s="37396" customFormat="1" customHeight="1" ht="17.25">
      <c r="A11" s="2441" t="s">
        <v>2089</v>
      </c>
    </row>
    <row r="13" s="34673" customFormat="1" customHeight="1" ht="15">
      <c r="A13" s="2843">
        <v>1</v>
      </c>
      <c r="B13" s="1786"/>
      <c r="C13" s="1427" t="s">
        <v>103</v>
      </c>
      <c r="D13" s="2444"/>
      <c r="E13" s="2431">
        <f>A13</f>
        <v>1</v>
      </c>
      <c r="F13" s="1430"/>
      <c r="G13" s="1166" t="str">
        <f>"Территория "&amp;E13</f>
        <v>Территория 1</v>
      </c>
      <c r="H13" s="1418"/>
      <c r="I13" s="1418"/>
      <c r="J13" s="1415"/>
      <c r="K13" s="2250"/>
      <c r="L13" s="2250"/>
      <c r="M13" s="2250"/>
      <c r="N13" s="852"/>
      <c r="O13" s="2250"/>
      <c r="P13" s="851"/>
      <c r="Q13" s="851"/>
      <c r="R13" s="851"/>
      <c r="S13" s="851"/>
    </row>
    <row s="34718" customFormat="1" customHeight="1" ht="15">
      <c r="A14" s="2843"/>
      <c r="B14" s="1786">
        <v>1</v>
      </c>
      <c r="C14" s="1786"/>
      <c r="D14" s="1426"/>
      <c r="E14" s="2439" t="str">
        <f>A13&amp;"."&amp;B14</f>
        <v>1.1</v>
      </c>
      <c r="F14" s="1429">
        <f>$F$20</f>
        <v>0</v>
      </c>
      <c r="G14" s="1419"/>
      <c r="H14" s="1419"/>
      <c r="I14" s="1417"/>
      <c r="J14" s="2250"/>
      <c r="K14" s="2262"/>
      <c r="L14" s="2262"/>
      <c r="M14" s="2250" t="str">
        <f t="array" ref="M14:M14">IF(ISERROR(MATCH(MID(N14,1,250),MID(note_ter,1,250),0)),"n","y")</f>
        <v>n</v>
      </c>
      <c r="N14" s="2262"/>
      <c r="O14" s="2250" t="str">
        <f>H14&amp;"("&amp;I14&amp;")"</f>
        <v>()</v>
      </c>
      <c r="P14" s="1786"/>
      <c r="Q14" s="1786"/>
      <c r="R14" s="1046"/>
      <c r="S14" s="1786"/>
      <c r="T14" s="1786"/>
      <c r="U14" s="1786"/>
      <c r="V14" s="1048"/>
      <c r="W14" s="1048"/>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c r="AT14" s="1045"/>
      <c r="AU14" s="1045"/>
      <c r="AV14" s="1045"/>
      <c r="AW14" s="1045"/>
      <c r="AX14" s="1045"/>
      <c r="AY14" s="1045"/>
      <c r="AZ14" s="1045"/>
      <c r="BA14" s="1045"/>
      <c r="BB14" s="1045"/>
      <c r="BC14" s="1045"/>
      <c r="BD14" s="1045"/>
      <c r="BE14" s="1045"/>
      <c r="BF14" s="1045"/>
      <c r="BG14" s="1045"/>
      <c r="BH14" s="1045"/>
      <c r="BI14" s="1045"/>
      <c r="BJ14" s="1045"/>
      <c r="BK14" s="1045"/>
      <c r="BL14" s="1045"/>
      <c r="BM14" s="1045"/>
      <c r="BN14" s="1045"/>
      <c r="BO14" s="1045"/>
      <c r="BP14" s="1045"/>
      <c r="BQ14" s="1045"/>
      <c r="BR14" s="1045"/>
      <c r="BS14" s="1048"/>
      <c r="BT14" s="1048"/>
      <c r="BU14" s="1048"/>
      <c r="BV14" s="1048"/>
      <c r="BW14" s="1048"/>
      <c r="BX14" s="1048"/>
      <c r="BY14" s="1048"/>
      <c r="BZ14" s="1048"/>
      <c r="CA14" s="1048"/>
      <c r="CB14" s="1048"/>
    </row>
    <row s="34718" customFormat="1" customHeight="1" ht="15">
      <c r="A15" s="2843"/>
      <c r="B15" s="1786"/>
      <c r="C15" s="1038"/>
      <c r="D15" s="1427"/>
      <c r="E15" s="1047"/>
      <c r="F15" s="803"/>
      <c r="G15" s="1041" t="s">
        <v>101</v>
      </c>
      <c r="H15" s="813"/>
      <c r="I15" s="1050"/>
      <c r="J15" s="2262"/>
      <c r="K15" s="2262"/>
      <c r="L15" s="2262"/>
      <c r="M15" s="2262"/>
      <c r="N15" s="2250"/>
      <c r="O15" s="2262"/>
      <c r="P15" s="1786"/>
      <c r="Q15" s="1786"/>
      <c r="R15" s="1046"/>
      <c r="S15" s="1786"/>
      <c r="T15" s="1786"/>
      <c r="U15" s="1786"/>
      <c r="V15" s="1048"/>
      <c r="W15" s="1048"/>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c r="AT15" s="1045"/>
      <c r="AU15" s="1045"/>
      <c r="AV15" s="1045"/>
      <c r="AW15" s="1045"/>
      <c r="AX15" s="1045"/>
      <c r="AY15" s="1045"/>
      <c r="AZ15" s="1045"/>
      <c r="BA15" s="1045"/>
      <c r="BB15" s="1045"/>
      <c r="BC15" s="1045"/>
      <c r="BD15" s="1045"/>
      <c r="BE15" s="1045"/>
      <c r="BF15" s="1045"/>
      <c r="BG15" s="1045"/>
      <c r="BH15" s="1045"/>
      <c r="BI15" s="1045"/>
      <c r="BJ15" s="1045"/>
      <c r="BK15" s="1045"/>
      <c r="BL15" s="1045"/>
      <c r="BM15" s="1045"/>
      <c r="BN15" s="1045"/>
      <c r="BO15" s="1045"/>
      <c r="BP15" s="1045"/>
      <c r="BQ15" s="1045"/>
      <c r="BR15" s="1045"/>
      <c r="BS15" s="1048"/>
      <c r="BT15" s="1048"/>
      <c r="BU15" s="1048"/>
      <c r="BV15" s="1048"/>
      <c r="BW15" s="1048"/>
      <c r="BX15" s="1048"/>
      <c r="BY15" s="1048"/>
      <c r="BZ15" s="1048"/>
      <c r="CA15" s="1048"/>
      <c r="CB15" s="1048"/>
    </row>
    <row r="17" s="37396" customFormat="1" customHeight="1" ht="17.25">
      <c r="A17" s="2441" t="s">
        <v>2090</v>
      </c>
    </row>
    <row r="19" s="34718" customFormat="1" customHeight="1" ht="15">
      <c r="A19" s="2508"/>
      <c r="B19" s="1992">
        <v>1</v>
      </c>
      <c r="C19" s="1992"/>
      <c r="D19" s="1426" t="s">
        <v>103</v>
      </c>
      <c r="E19" s="2504"/>
      <c r="F19" s="2509">
        <f>$F$20</f>
        <v>0</v>
      </c>
      <c r="G19" s="2513"/>
      <c r="H19" s="2513"/>
      <c r="I19" s="2511"/>
      <c r="J19" s="2250"/>
      <c r="K19" s="2262"/>
      <c r="L19" s="2262"/>
      <c r="M19" s="2250" t="str">
        <f t="array" ref="M19:M19">IF(ISERROR(MATCH(MID(N19,1,250),MID(note_ter,1,250),0)),"n","y")</f>
        <v>n</v>
      </c>
      <c r="N19" s="2262"/>
      <c r="O19" s="2250" t="str">
        <f>H19&amp;"("&amp;I19&amp;")"</f>
        <v>()</v>
      </c>
      <c r="P19" s="1992"/>
      <c r="Q19" s="1992"/>
      <c r="R19" s="1046"/>
      <c r="S19" s="1992"/>
      <c r="T19" s="1992"/>
      <c r="U19" s="1992"/>
      <c r="V19" s="1459"/>
      <c r="W19" s="1459"/>
      <c r="X19" s="1253"/>
      <c r="Y19" s="1253"/>
      <c r="Z19" s="1253"/>
      <c r="AA19" s="1253"/>
      <c r="AB19" s="1253"/>
      <c r="AC19" s="1253"/>
      <c r="AD19" s="1253"/>
      <c r="AE19" s="1253"/>
      <c r="AF19" s="1253"/>
      <c r="AG19" s="1253"/>
      <c r="AH19" s="1253"/>
      <c r="AI19" s="1253"/>
      <c r="AJ19" s="1253"/>
      <c r="AK19" s="1253"/>
      <c r="AL19" s="1253"/>
      <c r="AM19" s="1253"/>
      <c r="AN19" s="1253"/>
      <c r="AO19" s="1253"/>
      <c r="AP19" s="1253"/>
      <c r="AQ19" s="1253"/>
      <c r="AR19" s="1253"/>
      <c r="AS19" s="1253"/>
      <c r="AT19" s="1253"/>
      <c r="AU19" s="1253"/>
      <c r="AV19" s="1253"/>
      <c r="AW19" s="1253"/>
      <c r="AX19" s="1253"/>
      <c r="AY19" s="1253"/>
      <c r="AZ19" s="1253"/>
      <c r="BA19" s="1253"/>
      <c r="BB19" s="1253"/>
      <c r="BC19" s="1253"/>
      <c r="BD19" s="1253"/>
      <c r="BE19" s="1253"/>
      <c r="BF19" s="1253"/>
      <c r="BG19" s="1253"/>
      <c r="BH19" s="1253"/>
      <c r="BI19" s="1253"/>
      <c r="BJ19" s="1253"/>
      <c r="BK19" s="1253"/>
      <c r="BL19" s="1253"/>
      <c r="BM19" s="1253"/>
      <c r="BN19" s="1253"/>
      <c r="BO19" s="1253"/>
      <c r="BP19" s="1253"/>
      <c r="BQ19" s="1253"/>
      <c r="BR19" s="1253"/>
      <c r="BS19" s="1459"/>
      <c r="BT19" s="1459"/>
      <c r="BU19" s="1459"/>
      <c r="BV19" s="1459"/>
      <c r="BW19" s="1459"/>
      <c r="BX19" s="1459"/>
      <c r="BY19" s="1459"/>
      <c r="BZ19" s="1459"/>
      <c r="CA19" s="1459"/>
      <c r="CB19" s="1459"/>
    </row>
    <row r="21" s="34718" customFormat="1" customHeight="1" ht="15">
      <c r="A21" s="2441" t="s">
        <v>2091</v>
      </c>
      <c r="B21" s="2441"/>
      <c r="C21" s="2441"/>
      <c r="D21" s="2441"/>
      <c r="E21" s="2441"/>
      <c r="F21" s="2441"/>
      <c r="G21" s="2441"/>
      <c r="H21" s="2441"/>
      <c r="I21" s="2441"/>
      <c r="J21" s="2441"/>
      <c r="K21" s="2441"/>
      <c r="L21" s="2441"/>
      <c r="M21" s="2441"/>
      <c r="N21" s="2441"/>
      <c r="O21" s="2441"/>
      <c r="P21" s="2441"/>
      <c r="Q21" s="2441"/>
      <c r="R21" s="2441"/>
      <c r="S21" s="2441"/>
      <c r="T21" s="2441"/>
      <c r="U21" s="810"/>
      <c r="V21" s="2441"/>
      <c r="W21" s="2441"/>
    </row>
    <row s="34718" customFormat="1" customHeight="1" ht="15">
      <c r="U22" s="811"/>
    </row>
    <row s="34794" customFormat="1" customHeight="1" ht="15">
      <c r="A23" s="1049"/>
      <c r="B23" s="1049"/>
      <c r="C23" s="2354" t="s">
        <v>103</v>
      </c>
      <c r="D23" s="2734" t="s">
        <v>118</v>
      </c>
      <c r="E23" s="2735"/>
      <c r="F23" s="2733" t="s">
        <v>19</v>
      </c>
      <c r="G23" s="3183"/>
      <c r="H23" s="2753">
        <v>1</v>
      </c>
      <c r="I23" s="3185" t="str">
        <f>IF(U23="","",INDEX(TERRITORY_MR_LIST,MATCH(U23,TERRITORY_LIST_ID,0)))</f>
        <v/>
      </c>
      <c r="J23" s="2733" t="s">
        <v>19</v>
      </c>
      <c r="K23" s="1458"/>
      <c r="L23" s="2408" t="s">
        <v>118</v>
      </c>
      <c r="M23" s="1229"/>
      <c r="N23" s="1230"/>
      <c r="O23" s="1230"/>
      <c r="P23" s="1230"/>
      <c r="Q23" s="1230"/>
      <c r="R23" s="1230"/>
      <c r="S23" s="1230"/>
      <c r="T23" s="1230"/>
      <c r="U23" s="1231"/>
      <c r="V23" s="1230"/>
      <c r="W23" s="1230"/>
      <c r="X23" s="1221"/>
      <c r="Y23" s="1221" t="s">
        <v>128</v>
      </c>
      <c r="Z23" s="1221">
        <v>1705000</v>
      </c>
      <c r="AA23" s="1221"/>
      <c r="AB23" s="1221"/>
      <c r="AC23" s="1221"/>
      <c r="AD23" s="1221"/>
      <c r="AE23" s="1221"/>
      <c r="AF23" s="1221"/>
      <c r="AG23" s="1221"/>
      <c r="AH23" s="1221"/>
      <c r="AI23" s="1221"/>
      <c r="AJ23" s="1221"/>
      <c r="AK23" s="1221"/>
      <c r="AL23" s="1221"/>
    </row>
    <row s="34794" customFormat="1" customHeight="1" ht="15">
      <c r="A24" s="1049"/>
      <c r="B24" s="1049"/>
      <c r="C24" s="802"/>
      <c r="D24" s="2734"/>
      <c r="E24" s="2736"/>
      <c r="F24" s="2733"/>
      <c r="G24" s="3184"/>
      <c r="H24" s="2753"/>
      <c r="I24" s="3186"/>
      <c r="J24" s="2733"/>
      <c r="K24" s="1047"/>
      <c r="L24" s="803"/>
      <c r="M24" s="1233" t="s">
        <v>129</v>
      </c>
      <c r="N24" s="1230"/>
      <c r="O24" s="1230"/>
      <c r="P24" s="1230"/>
      <c r="Q24" s="1230"/>
      <c r="R24" s="1230"/>
      <c r="S24" s="1230"/>
      <c r="T24" s="1230"/>
      <c r="U24" s="1231"/>
      <c r="V24" s="1230"/>
      <c r="W24" s="1230"/>
      <c r="X24" s="1221"/>
      <c r="Y24" s="1221"/>
      <c r="Z24" s="1221"/>
      <c r="AA24" s="1221"/>
      <c r="AB24" s="1221"/>
      <c r="AC24" s="1221"/>
      <c r="AD24" s="1221"/>
      <c r="AE24" s="1221"/>
      <c r="AF24" s="1221"/>
      <c r="AG24" s="1221"/>
      <c r="AH24" s="1221"/>
      <c r="AI24" s="1221"/>
      <c r="AJ24" s="1221"/>
      <c r="AK24" s="1221"/>
      <c r="AL24" s="1221"/>
    </row>
    <row s="34794" customFormat="1" customHeight="1" ht="15">
      <c r="A25" s="1049"/>
      <c r="B25" s="1049"/>
      <c r="C25" s="802"/>
      <c r="D25" s="2734"/>
      <c r="E25" s="2737"/>
      <c r="F25" s="2733"/>
      <c r="G25" s="1047"/>
      <c r="H25" s="803"/>
      <c r="I25" s="1206" t="s">
        <v>132</v>
      </c>
      <c r="J25" s="803"/>
      <c r="K25" s="803"/>
      <c r="L25" s="803"/>
      <c r="M25" s="1234"/>
      <c r="N25" s="1230"/>
      <c r="O25" s="1230"/>
      <c r="P25" s="1230"/>
      <c r="Q25" s="1230"/>
      <c r="R25" s="1230"/>
      <c r="S25" s="1230"/>
      <c r="T25" s="1230"/>
      <c r="U25" s="1231"/>
      <c r="V25" s="1230"/>
      <c r="W25" s="1230"/>
      <c r="X25" s="1221"/>
      <c r="Y25" s="1221"/>
      <c r="Z25" s="1221"/>
      <c r="AA25" s="1221"/>
      <c r="AB25" s="1221"/>
      <c r="AC25" s="1221"/>
      <c r="AD25" s="1221"/>
      <c r="AE25" s="1221"/>
      <c r="AF25" s="1221"/>
      <c r="AG25" s="1221"/>
      <c r="AH25" s="1221"/>
      <c r="AI25" s="1221"/>
      <c r="AJ25" s="1221"/>
      <c r="AK25" s="1221"/>
      <c r="AL25" s="1221"/>
    </row>
    <row s="34718" customFormat="1" customHeight="1" ht="15">
      <c r="U26" s="811"/>
    </row>
    <row s="34718" customFormat="1" customHeight="1" ht="15">
      <c r="A27" s="2441" t="s">
        <v>2092</v>
      </c>
      <c r="B27" s="2441"/>
      <c r="C27" s="2441"/>
      <c r="D27" s="2441"/>
      <c r="E27" s="2441"/>
      <c r="F27" s="2441"/>
      <c r="G27" s="2441"/>
      <c r="H27" s="2441"/>
      <c r="I27" s="2441"/>
      <c r="J27" s="2441"/>
      <c r="K27" s="2441"/>
      <c r="L27" s="2441"/>
      <c r="M27" s="2441"/>
      <c r="N27" s="2441"/>
      <c r="O27" s="2441"/>
      <c r="P27" s="2441"/>
      <c r="Q27" s="2441"/>
      <c r="R27" s="2441"/>
      <c r="S27" s="2441"/>
      <c r="T27" s="2441"/>
      <c r="U27" s="810"/>
      <c r="V27" s="2441"/>
      <c r="W27" s="2441"/>
    </row>
    <row s="34718" customFormat="1" customHeight="1" ht="15">
      <c r="U28" s="811"/>
    </row>
    <row s="34794" customFormat="1" customHeight="1" ht="15">
      <c r="A29" s="1049"/>
      <c r="B29" s="1049"/>
      <c r="C29" s="802"/>
      <c r="D29" s="2447"/>
      <c r="E29" s="2447"/>
      <c r="F29" s="2447"/>
      <c r="G29" s="3187" t="s">
        <v>103</v>
      </c>
      <c r="H29" s="2729">
        <v>1</v>
      </c>
      <c r="I29" s="3188" t="str">
        <f>IF(U29="","",INDEX(TERRITORY_MR_LIST,MATCH(U29,TERRITORY_LIST_ID,0)))</f>
        <v/>
      </c>
      <c r="J29" s="2733" t="s">
        <v>19</v>
      </c>
      <c r="K29" s="1458"/>
      <c r="L29" s="2408" t="s">
        <v>118</v>
      </c>
      <c r="M29" s="1229"/>
      <c r="N29" s="1230"/>
      <c r="O29" s="1230"/>
      <c r="P29" s="1230"/>
      <c r="Q29" s="1230"/>
      <c r="R29" s="1230"/>
      <c r="S29" s="1230"/>
      <c r="T29" s="1230"/>
      <c r="U29" s="1231"/>
      <c r="V29" s="1230"/>
      <c r="W29" s="1230"/>
      <c r="X29" s="1221"/>
      <c r="Y29" s="1221" t="s">
        <v>128</v>
      </c>
      <c r="Z29" s="1221">
        <v>1705000</v>
      </c>
      <c r="AA29" s="1221"/>
      <c r="AB29" s="1221"/>
      <c r="AC29" s="1221"/>
      <c r="AD29" s="1221"/>
      <c r="AE29" s="1221"/>
      <c r="AF29" s="1221"/>
      <c r="AG29" s="1221"/>
      <c r="AH29" s="1221"/>
      <c r="AI29" s="1221"/>
      <c r="AJ29" s="1221"/>
      <c r="AK29" s="1221"/>
      <c r="AL29" s="1221"/>
    </row>
    <row s="34794" customFormat="1" customHeight="1" ht="15">
      <c r="A30" s="1049"/>
      <c r="B30" s="1049"/>
      <c r="C30" s="802"/>
      <c r="D30" s="2447"/>
      <c r="E30" s="2447"/>
      <c r="F30" s="2447"/>
      <c r="G30" s="3187"/>
      <c r="H30" s="2729"/>
      <c r="I30" s="3188"/>
      <c r="J30" s="2733"/>
      <c r="K30" s="1047"/>
      <c r="L30" s="803"/>
      <c r="M30" s="1233" t="s">
        <v>129</v>
      </c>
      <c r="N30" s="1230"/>
      <c r="O30" s="1230"/>
      <c r="P30" s="1230"/>
      <c r="Q30" s="1230"/>
      <c r="R30" s="1230"/>
      <c r="S30" s="1230"/>
      <c r="T30" s="1230"/>
      <c r="U30" s="1231"/>
      <c r="V30" s="1230"/>
      <c r="W30" s="1230"/>
      <c r="X30" s="1221"/>
      <c r="Y30" s="1221"/>
      <c r="Z30" s="1221"/>
      <c r="AA30" s="1221"/>
      <c r="AB30" s="1221"/>
      <c r="AC30" s="1221"/>
      <c r="AD30" s="1221"/>
      <c r="AE30" s="1221"/>
      <c r="AF30" s="1221"/>
      <c r="AG30" s="1221"/>
      <c r="AH30" s="1221"/>
      <c r="AI30" s="1221"/>
      <c r="AJ30" s="1221"/>
      <c r="AK30" s="1221"/>
      <c r="AL30" s="1221"/>
    </row>
    <row s="34718" customFormat="1" customHeight="1" ht="15">
      <c r="U31" s="811"/>
    </row>
    <row s="34718" customFormat="1" customHeight="1" ht="15">
      <c r="A32" s="2441" t="s">
        <v>2093</v>
      </c>
      <c r="B32" s="2441"/>
      <c r="C32" s="2441"/>
      <c r="D32" s="2441"/>
      <c r="E32" s="2441"/>
      <c r="F32" s="2441"/>
      <c r="G32" s="2441"/>
      <c r="H32" s="2441"/>
      <c r="I32" s="2441"/>
      <c r="J32" s="2441"/>
      <c r="K32" s="2441"/>
      <c r="L32" s="2441"/>
      <c r="M32" s="2441"/>
      <c r="N32" s="2441"/>
      <c r="O32" s="2441"/>
      <c r="P32" s="2441"/>
      <c r="Q32" s="2441"/>
      <c r="R32" s="2441"/>
      <c r="S32" s="2441"/>
      <c r="T32" s="2441"/>
      <c r="U32" s="810"/>
      <c r="V32" s="2441"/>
      <c r="W32" s="2441"/>
    </row>
    <row s="34718" customFormat="1" customHeight="1" ht="15">
      <c r="U33" s="811"/>
    </row>
    <row s="34794" customFormat="1" customHeight="1" ht="15">
      <c r="A34" s="1049"/>
      <c r="B34" s="1049"/>
      <c r="C34" s="802"/>
      <c r="D34" s="2447"/>
      <c r="E34" s="2447"/>
      <c r="F34" s="2447"/>
      <c r="G34" s="2447"/>
      <c r="H34" s="2447"/>
      <c r="I34" s="2447"/>
      <c r="J34" s="2447"/>
      <c r="K34" s="2425" t="s">
        <v>103</v>
      </c>
      <c r="L34" s="2355" t="s">
        <v>118</v>
      </c>
      <c r="M34" s="1437"/>
      <c r="N34" s="1438"/>
      <c r="O34" s="1230"/>
      <c r="P34" s="1230"/>
      <c r="Q34" s="1230"/>
      <c r="R34" s="1230"/>
      <c r="S34" s="1230"/>
      <c r="T34" s="1230"/>
      <c r="U34" s="1231"/>
      <c r="V34" s="1230"/>
      <c r="W34" s="1230"/>
      <c r="X34" s="1221"/>
      <c r="Y34" s="1221" t="s">
        <v>128</v>
      </c>
      <c r="Z34" s="1221">
        <v>1705000</v>
      </c>
      <c r="AA34" s="1221"/>
      <c r="AB34" s="1221"/>
      <c r="AC34" s="1221"/>
      <c r="AD34" s="1221"/>
      <c r="AE34" s="1221"/>
      <c r="AF34" s="1221"/>
      <c r="AG34" s="1221"/>
      <c r="AH34" s="1221"/>
      <c r="AI34" s="1221"/>
      <c r="AJ34" s="1221"/>
      <c r="AK34" s="1221"/>
      <c r="AL34" s="1221"/>
    </row>
    <row s="34718" customFormat="1" customHeight="1" ht="15">
      <c r="U35" s="811"/>
    </row>
    <row s="34718" customFormat="1" customHeight="1" ht="15">
      <c r="U36" s="811"/>
    </row>
    <row s="37396" customFormat="1" customHeight="1" ht="11.25">
      <c r="A37" s="2441" t="s">
        <v>2094</v>
      </c>
    </row>
    <row customHeight="1" ht="11.25"/>
    <row s="35153" customFormat="1" customHeight="1" ht="22.5">
      <c r="A39" s="2417"/>
      <c r="B39" s="1083"/>
      <c r="C39" s="1485"/>
      <c r="D39" s="1066"/>
      <c r="E39" s="1486"/>
      <c r="F39" s="2438"/>
      <c r="G39" s="2448"/>
      <c r="H39" s="1101"/>
    </row>
    <row customHeight="1" ht="11.25"/>
    <row s="37396" customFormat="1" customHeight="1" ht="11.25">
      <c r="A41" s="2441" t="s">
        <v>2095</v>
      </c>
    </row>
    <row customHeight="1" ht="11.25"/>
    <row s="35153" customFormat="1" customHeight="1" ht="22.5">
      <c r="A43" s="1083"/>
      <c r="B43" s="1083"/>
      <c r="C43" s="1083"/>
      <c r="D43" s="1066"/>
      <c r="E43" s="1486"/>
      <c r="F43" s="1487"/>
      <c r="G43" s="2448"/>
      <c r="H43" s="1101"/>
    </row>
    <row customHeight="1" ht="11.25"/>
    <row s="37396" customFormat="1" customHeight="1" ht="11.25">
      <c r="A45" s="2441" t="s">
        <v>2096</v>
      </c>
    </row>
    <row customHeight="1" ht="11.25"/>
    <row s="35153" customFormat="1" customHeight="1" ht="24">
      <c r="A47" s="2828" t="s">
        <v>331</v>
      </c>
      <c r="B47" s="1128"/>
      <c r="C47" s="2839"/>
      <c r="D47" s="1071" t="str">
        <f>A47</f>
        <v>5.1</v>
      </c>
      <c r="E47" s="1068" t="s">
        <v>332</v>
      </c>
      <c r="F47" s="2602" t="s">
        <v>324</v>
      </c>
      <c r="G47" s="1070" t="s">
        <v>333</v>
      </c>
      <c r="H47" s="1101"/>
      <c r="I47" s="1478"/>
    </row>
    <row s="35153" customFormat="1" customHeight="1" ht="22.5">
      <c r="A48" s="2828"/>
      <c r="B48" s="1128"/>
      <c r="C48" s="2839"/>
      <c r="D48" s="1066" t="str">
        <f>D47&amp;".1"</f>
        <v>5.1.1</v>
      </c>
      <c r="E48" s="1065" t="s">
        <v>334</v>
      </c>
      <c r="F48" s="2603" t="s">
        <v>22</v>
      </c>
      <c r="G48" s="1100"/>
      <c r="H48" s="1101"/>
      <c r="I48" s="1478"/>
    </row>
    <row s="35153" customFormat="1" customHeight="1" ht="22.5">
      <c r="A49" s="2828"/>
      <c r="B49" s="1128"/>
      <c r="C49" s="2839"/>
      <c r="D49" s="1066" t="str">
        <f>D47&amp;".2"</f>
        <v>5.1.2</v>
      </c>
      <c r="E49" s="1065" t="s">
        <v>335</v>
      </c>
      <c r="F49" s="2358" t="s">
        <v>22</v>
      </c>
      <c r="G49" s="1070" t="s">
        <v>336</v>
      </c>
      <c r="H49" s="1101"/>
      <c r="I49" s="1478"/>
    </row>
    <row s="35153" customFormat="1" customHeight="1" ht="22.5">
      <c r="A50" s="2828"/>
      <c r="B50" s="1128"/>
      <c r="C50" s="2839"/>
      <c r="D50" s="1066" t="str">
        <f>D47&amp;".3"</f>
        <v>5.1.3</v>
      </c>
      <c r="E50" s="1065" t="s">
        <v>337</v>
      </c>
      <c r="F50" s="2603" t="s">
        <v>22</v>
      </c>
      <c r="G50" s="1100"/>
      <c r="H50" s="1101"/>
      <c r="I50" s="1478"/>
    </row>
    <row s="35153" customFormat="1" customHeight="1" ht="22.5">
      <c r="A51" s="2828"/>
      <c r="B51" s="1128"/>
      <c r="C51" s="2839"/>
      <c r="D51" s="1066" t="str">
        <f>D47&amp;".4"</f>
        <v>5.1.4</v>
      </c>
      <c r="E51" s="1065" t="s">
        <v>338</v>
      </c>
      <c r="F51" s="2603" t="s">
        <v>22</v>
      </c>
      <c r="G51" s="1070" t="s">
        <v>339</v>
      </c>
      <c r="H51" s="1101"/>
      <c r="I51" s="1478"/>
    </row>
    <row r="54" s="37396" customFormat="1" customHeight="1" ht="17.25">
      <c r="A54" s="2441" t="s">
        <v>2097</v>
      </c>
    </row>
    <row r="56" s="34555" customFormat="1" customHeight="1" ht="18.75">
      <c r="A56" s="715"/>
      <c r="B56" s="2449"/>
      <c r="C56" s="2449"/>
      <c r="D56" s="2450"/>
      <c r="E56" s="2435"/>
      <c r="F56" s="1494">
        <v>13</v>
      </c>
      <c r="G56" s="1493"/>
      <c r="H56" s="1419"/>
      <c r="I56" s="1417"/>
      <c r="J56" s="1146" t="s">
        <v>66</v>
      </c>
      <c r="K56" s="2451" t="s">
        <v>22</v>
      </c>
      <c r="L56" s="715"/>
      <c r="M56" s="2262"/>
      <c r="N56" s="2262"/>
      <c r="O56" s="2262"/>
      <c r="P56" s="1142" t="s">
        <v>410</v>
      </c>
      <c r="Q56" s="1142" t="s">
        <v>411</v>
      </c>
      <c r="R56" s="1143" t="s">
        <v>412</v>
      </c>
      <c r="S56" s="2262" t="s">
        <v>413</v>
      </c>
      <c r="T56" s="2262"/>
      <c r="U56" s="2262"/>
      <c r="V56" s="2262"/>
    </row>
    <row r="58" s="37396" customFormat="1" customHeight="1" ht="11.25">
      <c r="A58" s="2441" t="s">
        <v>2098</v>
      </c>
    </row>
    <row r="60" s="34580" customFormat="1" customHeight="1" ht="14.25">
      <c r="C60" s="2314"/>
      <c r="D60" s="2495"/>
      <c r="E60" s="2403" t="s">
        <v>22</v>
      </c>
      <c r="F60" s="2494"/>
      <c r="G60" s="1482"/>
      <c r="H60" s="2404"/>
      <c r="I60" s="2404"/>
      <c r="J60" s="1059"/>
      <c r="K60" s="2489"/>
      <c r="L60" s="1058"/>
      <c r="M60" s="2489"/>
      <c r="N60" s="1059"/>
      <c r="O60" s="2489"/>
      <c r="P60" s="1059"/>
      <c r="Q60" s="2489"/>
      <c r="R60" s="1059"/>
      <c r="S60" s="1480"/>
      <c r="T60" s="2404"/>
      <c r="U60" s="1059"/>
      <c r="V60" s="1059"/>
      <c r="W60" s="2493"/>
      <c r="X60" s="2404"/>
      <c r="Y60" s="1059"/>
      <c r="Z60" s="1059"/>
      <c r="AA60" s="2493"/>
      <c r="AB60" s="2404"/>
      <c r="AC60" s="1059"/>
      <c r="AD60" s="2493"/>
      <c r="AE60" s="715"/>
      <c r="AF60" s="715"/>
      <c r="AG60" s="715"/>
      <c r="AH60" s="715"/>
      <c r="AJ60" s="2262"/>
      <c r="AK60" s="2262"/>
      <c r="AL60" s="2262"/>
      <c r="AM60" s="2262"/>
      <c r="AN60" s="2262"/>
      <c r="AO60" s="2262"/>
      <c r="AP60" s="2250" t="s">
        <v>399</v>
      </c>
      <c r="AQ60" s="2250" t="s">
        <v>399</v>
      </c>
      <c r="AR60" s="2262"/>
      <c r="AS60" s="2262"/>
    </row>
    <row r="62" s="37396" customFormat="1" customHeight="1" ht="11.25">
      <c r="A62" s="2441" t="s">
        <v>2099</v>
      </c>
    </row>
    <row r="64" s="37077" customFormat="1" customHeight="1" ht="15">
      <c r="A64" s="771" t="s">
        <v>90</v>
      </c>
      <c r="B64" s="751" t="s">
        <v>22</v>
      </c>
      <c r="C64" s="2452"/>
      <c r="D64" s="754"/>
      <c r="E64" s="1007"/>
      <c r="F64" s="1007"/>
      <c r="G64" s="2429"/>
      <c r="H64" s="2451"/>
      <c r="I64" s="2430"/>
      <c r="K64" s="898"/>
      <c r="L64" s="899"/>
    </row>
    <row r="66" s="37396" customFormat="1" customHeight="1" ht="11.25">
      <c r="A66" s="2441" t="s">
        <v>2100</v>
      </c>
    </row>
    <row r="68" s="34580" customFormat="1" customHeight="1" ht="14.25">
      <c r="A68" s="969"/>
      <c r="B68" s="1786"/>
      <c r="C68" s="1002"/>
      <c r="D68" s="2436"/>
      <c r="E68" s="1512"/>
      <c r="F68" s="2451"/>
      <c r="G68" s="715"/>
      <c r="I68" s="2250"/>
      <c r="J68" s="2250"/>
    </row>
    <row r="70" s="37396" customFormat="1" customHeight="1" ht="11.25">
      <c r="A70" s="2441" t="s">
        <v>2101</v>
      </c>
    </row>
    <row r="72" s="34580" customFormat="1" customHeight="1" ht="27">
      <c r="A72" s="1792"/>
      <c r="B72" s="1792"/>
      <c r="C72" s="1792"/>
      <c r="D72" s="1786"/>
      <c r="E72" s="2453"/>
      <c r="F72" s="3207"/>
      <c r="G72" s="3208"/>
      <c r="H72" s="3209" t="s">
        <v>66</v>
      </c>
      <c r="I72" s="3211"/>
      <c r="J72" s="3174"/>
      <c r="K72" s="3213"/>
      <c r="L72" s="3176"/>
      <c r="M72" s="3176"/>
      <c r="N72" s="3177"/>
      <c r="O72" s="3177"/>
      <c r="P72" s="3178">
        <f>DATEDIF(DATEVALUE(N72),DATEVALUE(O72),"y")&amp;"г. "&amp;DATEDIF(DATEVALUE(N72),DATEVALUE(O72),"ym")&amp;"мес. "&amp;DATEVALUE(O72)-DATE(YEAR(DATEVALUE(O72)),MONTH(DATEVALUE(O72)),1)&amp;"дн. "</f>
      </c>
      <c r="Q72" s="3173"/>
      <c r="R72" s="3173"/>
      <c r="S72" s="3173"/>
      <c r="T72" s="3174"/>
      <c r="U72" s="3173"/>
      <c r="V72" s="3173"/>
      <c r="W72" s="3173"/>
      <c r="X72" s="3174"/>
      <c r="Y72" s="3171" t="s">
        <v>66</v>
      </c>
      <c r="Z72" s="2434"/>
      <c r="AA72" s="2418">
        <v>1</v>
      </c>
      <c r="AB72" s="1868"/>
      <c r="AD72" s="2262" t="s">
        <v>2102</v>
      </c>
    </row>
    <row s="34580" customFormat="1" customHeight="1" ht="10.5">
      <c r="A73" s="1792"/>
      <c r="B73" s="1792"/>
      <c r="C73" s="1792"/>
      <c r="D73" s="1786"/>
      <c r="E73" s="1573"/>
      <c r="F73" s="3207"/>
      <c r="G73" s="3208"/>
      <c r="H73" s="3210"/>
      <c r="I73" s="3212"/>
      <c r="J73" s="3175"/>
      <c r="K73" s="3213"/>
      <c r="L73" s="3176"/>
      <c r="M73" s="3176"/>
      <c r="N73" s="3177"/>
      <c r="O73" s="3177"/>
      <c r="P73" s="3178"/>
      <c r="Q73" s="3173"/>
      <c r="R73" s="3173"/>
      <c r="S73" s="3173"/>
      <c r="T73" s="3175"/>
      <c r="U73" s="3173"/>
      <c r="V73" s="3173"/>
      <c r="W73" s="3173"/>
      <c r="X73" s="3175"/>
      <c r="Y73" s="3172"/>
      <c r="Z73" s="973"/>
      <c r="AA73" s="1198"/>
      <c r="AB73" s="1278" t="s">
        <v>2103</v>
      </c>
    </row>
    <row r="75" s="37396" customFormat="1" customHeight="1" ht="11.25">
      <c r="A75" s="2441" t="s">
        <v>2104</v>
      </c>
    </row>
    <row r="77" s="34580" customFormat="1" customHeight="1" ht="27">
      <c r="A77" s="1792"/>
      <c r="B77" s="1792"/>
      <c r="C77" s="1792"/>
      <c r="D77" s="1786"/>
      <c r="E77" s="2453"/>
      <c r="F77" s="2423"/>
      <c r="G77" s="2373"/>
      <c r="H77" s="2374"/>
      <c r="I77" s="2375"/>
      <c r="J77" s="2376"/>
      <c r="K77" s="2377"/>
      <c r="L77" s="2378"/>
      <c r="M77" s="2378"/>
      <c r="N77" s="2379"/>
      <c r="O77" s="2379"/>
      <c r="P77" s="2380"/>
      <c r="Q77" s="2381"/>
      <c r="R77" s="2381"/>
      <c r="S77" s="2381"/>
      <c r="T77" s="2376"/>
      <c r="U77" s="2381"/>
      <c r="V77" s="2381"/>
      <c r="W77" s="2381"/>
      <c r="X77" s="2376"/>
      <c r="Y77" s="2374"/>
      <c r="Z77" s="2434"/>
      <c r="AA77" s="2418">
        <v>1</v>
      </c>
      <c r="AB77" s="1868"/>
      <c r="AD77" s="2262" t="s">
        <v>2102</v>
      </c>
    </row>
    <row r="79" s="37396" customFormat="1" customHeight="1" ht="11.25">
      <c r="A79" s="2441" t="s">
        <v>2105</v>
      </c>
    </row>
    <row customHeight="1" ht="17.25"/>
    <row s="34580" customFormat="1" customHeight="1" ht="21">
      <c r="A81" s="1793"/>
      <c r="B81" s="1792"/>
      <c r="C81" s="1792"/>
      <c r="D81" s="1786"/>
      <c r="E81" s="1796"/>
      <c r="F81" s="1748">
        <f>INDEX(IP_MAIN_LIST_NAME_IP,MATCH(A81,IP_MAIN_LIST_IP_ID,0))&amp;" ("&amp;INDEX(IP_MAIN_START_DATE,MATCH(A81,IP_MAIN_LIST_IP_ID,0))&amp;"-"&amp;INDEX(IP_MAIN_END_DATE,MATCH(A81,IP_MAIN_LIST_IP_ID,0))&amp;")"</f>
      </c>
      <c r="G81" s="1749"/>
      <c r="H81" s="1749"/>
      <c r="I81" s="1811"/>
      <c r="J81" s="1811"/>
      <c r="K81" s="1812"/>
      <c r="L81" s="1812"/>
      <c r="M81" s="1812"/>
      <c r="N81" s="1813"/>
      <c r="O81" s="1813"/>
      <c r="P81" s="1813"/>
      <c r="Q81" s="1813"/>
      <c r="R81" s="1813"/>
      <c r="S81" s="1813"/>
      <c r="T81" s="1813"/>
      <c r="U81" s="1813"/>
      <c r="V81" s="1813"/>
      <c r="W81" s="1813"/>
      <c r="X81" s="1813"/>
      <c r="Y81" s="1813"/>
      <c r="Z81" s="1813"/>
      <c r="AA81" s="1813"/>
      <c r="AB81" s="1813"/>
      <c r="AC81" s="1813"/>
      <c r="AD81" s="1813"/>
      <c r="AE81" s="1814"/>
      <c r="AF81" s="1812"/>
      <c r="AG81" s="1812"/>
      <c r="AH81" s="1812"/>
      <c r="AI81" s="1812"/>
      <c r="AJ81" s="1812"/>
      <c r="AK81" s="1812"/>
      <c r="AL81" s="2614"/>
      <c r="AM81" s="2449"/>
      <c r="AN81" s="2449"/>
      <c r="AO81" s="2449"/>
      <c r="AP81" s="2449"/>
      <c r="AQ81" s="2449"/>
      <c r="AR81" s="2449"/>
      <c r="AS81" s="2449"/>
      <c r="AT81" s="2449"/>
      <c r="AU81" s="2449"/>
      <c r="AV81" s="2449"/>
      <c r="AW81" s="2449"/>
      <c r="AX81" s="2449"/>
      <c r="AY81" s="2449"/>
      <c r="AZ81" s="2449"/>
      <c r="BA81" s="2449"/>
      <c r="BB81" s="2449"/>
      <c r="BC81" s="2449"/>
      <c r="BD81" s="2449"/>
      <c r="BE81" s="2449"/>
      <c r="BF81" s="2449"/>
    </row>
    <row s="34580" customFormat="1" customHeight="1" ht="0.75">
      <c r="A82" s="1792"/>
      <c r="B82" s="1792"/>
      <c r="C82" s="1792"/>
      <c r="D82" s="1786"/>
      <c r="E82" s="1796"/>
      <c r="F82" s="3162"/>
      <c r="G82" s="3141"/>
      <c r="H82" s="3166" t="s">
        <v>394</v>
      </c>
      <c r="I82" s="3167"/>
      <c r="J82" s="3168"/>
      <c r="K82" s="3168"/>
      <c r="L82" s="3160"/>
      <c r="M82" s="2894"/>
      <c r="N82" s="2662"/>
      <c r="O82" s="2661"/>
      <c r="P82" s="2662"/>
      <c r="Q82" s="2662"/>
      <c r="R82" s="2662"/>
      <c r="S82" s="2662"/>
      <c r="T82" s="2662"/>
      <c r="U82" s="2662"/>
      <c r="V82" s="2662"/>
      <c r="W82" s="2662"/>
      <c r="X82" s="2662"/>
      <c r="Y82" s="2662"/>
      <c r="Z82" s="2662"/>
      <c r="AA82" s="2662"/>
      <c r="AB82" s="2662"/>
      <c r="AC82" s="2662"/>
      <c r="AD82" s="2662"/>
      <c r="AE82" s="2662"/>
      <c r="AF82" s="3164"/>
      <c r="AG82" s="3160"/>
      <c r="AH82" s="3160"/>
      <c r="AI82" s="3164"/>
      <c r="AJ82" s="3160"/>
      <c r="AK82" s="3160"/>
      <c r="AL82" s="2614"/>
      <c r="AM82" s="2449"/>
      <c r="AN82" s="2449"/>
      <c r="AO82" s="2449"/>
      <c r="AP82" s="2449"/>
      <c r="AQ82" s="2449"/>
      <c r="AR82" s="2449"/>
      <c r="AS82" s="2449"/>
      <c r="AT82" s="2449"/>
      <c r="AU82" s="2449"/>
      <c r="AV82" s="2449"/>
      <c r="AW82" s="2449"/>
      <c r="AX82" s="2449"/>
      <c r="AY82" s="2449"/>
      <c r="AZ82" s="2449"/>
      <c r="BA82" s="2449"/>
      <c r="BB82" s="2449"/>
      <c r="BC82" s="2449"/>
      <c r="BD82" s="2449"/>
      <c r="BE82" s="2449"/>
      <c r="BF82" s="2449"/>
    </row>
    <row s="34580" customFormat="1" customHeight="1" ht="0.75">
      <c r="A83" s="1792"/>
      <c r="B83" s="1792"/>
      <c r="C83" s="1792"/>
      <c r="D83" s="1786"/>
      <c r="E83" s="1796"/>
      <c r="F83" s="3162"/>
      <c r="G83" s="3141"/>
      <c r="H83" s="3166"/>
      <c r="I83" s="3167"/>
      <c r="J83" s="3168"/>
      <c r="K83" s="3168"/>
      <c r="L83" s="3160"/>
      <c r="M83" s="2894"/>
      <c r="N83" s="3169"/>
      <c r="O83" s="3170"/>
      <c r="P83" s="3214"/>
      <c r="Q83" s="3165"/>
      <c r="R83" s="3165"/>
      <c r="S83" s="3165"/>
      <c r="T83" s="3165"/>
      <c r="U83" s="3165"/>
      <c r="V83" s="3165"/>
      <c r="W83" s="3165"/>
      <c r="X83" s="3165"/>
      <c r="Y83" s="3165"/>
      <c r="Z83" s="2663"/>
      <c r="AA83" s="2664"/>
      <c r="AB83" s="2664"/>
      <c r="AC83" s="2665"/>
      <c r="AD83" s="2665"/>
      <c r="AE83" s="2666"/>
      <c r="AF83" s="3164"/>
      <c r="AG83" s="3160"/>
      <c r="AH83" s="3160"/>
      <c r="AI83" s="3164"/>
      <c r="AJ83" s="3160"/>
      <c r="AK83" s="3160"/>
      <c r="AL83" s="2614"/>
      <c r="AM83" s="2449"/>
      <c r="AN83" s="2449"/>
      <c r="AO83" s="2449"/>
      <c r="AP83" s="2449"/>
      <c r="AQ83" s="2449"/>
      <c r="AR83" s="2449"/>
      <c r="AS83" s="2449"/>
      <c r="AT83" s="2449"/>
      <c r="AU83" s="2449"/>
      <c r="AV83" s="2449"/>
      <c r="AW83" s="2449"/>
      <c r="AX83" s="2449"/>
      <c r="AY83" s="2449"/>
      <c r="AZ83" s="2449"/>
      <c r="BA83" s="2449"/>
      <c r="BB83" s="2449"/>
      <c r="BC83" s="2449"/>
      <c r="BD83" s="2449"/>
      <c r="BE83" s="2449"/>
      <c r="BF83" s="2449"/>
    </row>
    <row s="34580" customFormat="1" customHeight="1" ht="0.75">
      <c r="A84" s="1792"/>
      <c r="B84" s="1792"/>
      <c r="C84" s="1792"/>
      <c r="D84" s="1786"/>
      <c r="E84" s="1796"/>
      <c r="F84" s="3162"/>
      <c r="G84" s="3141"/>
      <c r="H84" s="3166"/>
      <c r="I84" s="3167"/>
      <c r="J84" s="3168"/>
      <c r="K84" s="3168"/>
      <c r="L84" s="3160"/>
      <c r="M84" s="2894"/>
      <c r="N84" s="3169"/>
      <c r="O84" s="3170"/>
      <c r="P84" s="3215"/>
      <c r="Q84" s="3165"/>
      <c r="R84" s="3165"/>
      <c r="S84" s="3165"/>
      <c r="T84" s="3165"/>
      <c r="U84" s="3165"/>
      <c r="V84" s="3165"/>
      <c r="W84" s="3165"/>
      <c r="X84" s="3165"/>
      <c r="Y84" s="3165"/>
      <c r="Z84" s="2667"/>
      <c r="AA84" s="2668"/>
      <c r="AB84" s="2669"/>
      <c r="AC84" s="2670"/>
      <c r="AD84" s="2669"/>
      <c r="AE84" s="2670"/>
      <c r="AF84" s="3164"/>
      <c r="AG84" s="3160"/>
      <c r="AH84" s="3160"/>
      <c r="AI84" s="3164"/>
      <c r="AJ84" s="3160"/>
      <c r="AK84" s="3160"/>
      <c r="AL84" s="2614"/>
      <c r="AM84" s="2449"/>
      <c r="AN84" s="2449"/>
      <c r="AO84" s="2449"/>
      <c r="AP84" s="2449"/>
      <c r="AQ84" s="2449"/>
      <c r="AR84" s="2449"/>
      <c r="AS84" s="2449"/>
      <c r="AT84" s="2449"/>
      <c r="AU84" s="2449"/>
      <c r="AV84" s="2449"/>
      <c r="AW84" s="2449"/>
      <c r="AX84" s="2449"/>
      <c r="AY84" s="2449"/>
      <c r="AZ84" s="2449"/>
      <c r="BA84" s="2449"/>
      <c r="BB84" s="2449"/>
      <c r="BC84" s="2449"/>
      <c r="BD84" s="2449"/>
      <c r="BE84" s="2449"/>
      <c r="BF84" s="2449"/>
    </row>
    <row s="34580" customFormat="1" customHeight="1" ht="0.75">
      <c r="A85" s="1792"/>
      <c r="B85" s="1792"/>
      <c r="C85" s="1792"/>
      <c r="D85" s="1786"/>
      <c r="E85" s="1796"/>
      <c r="F85" s="3162"/>
      <c r="G85" s="3141"/>
      <c r="H85" s="3166"/>
      <c r="I85" s="3167"/>
      <c r="J85" s="3168"/>
      <c r="K85" s="3168"/>
      <c r="L85" s="3160"/>
      <c r="M85" s="2894"/>
      <c r="N85" s="3169"/>
      <c r="O85" s="3170"/>
      <c r="P85" s="3216"/>
      <c r="Q85" s="3165"/>
      <c r="R85" s="3165"/>
      <c r="S85" s="3165"/>
      <c r="T85" s="3165"/>
      <c r="U85" s="3165"/>
      <c r="V85" s="3165"/>
      <c r="W85" s="3165"/>
      <c r="X85" s="3165"/>
      <c r="Y85" s="3165"/>
      <c r="Z85" s="2663"/>
      <c r="AA85" s="2664"/>
      <c r="AB85" s="2671"/>
      <c r="AC85" s="2665"/>
      <c r="AD85" s="2665"/>
      <c r="AE85" s="2672"/>
      <c r="AF85" s="3164"/>
      <c r="AG85" s="3160"/>
      <c r="AH85" s="3160"/>
      <c r="AI85" s="3164"/>
      <c r="AJ85" s="3160"/>
      <c r="AK85" s="3160"/>
      <c r="AL85" s="2614"/>
      <c r="AM85" s="2449"/>
      <c r="AN85" s="2449"/>
      <c r="AO85" s="2449"/>
      <c r="AP85" s="2449"/>
      <c r="AQ85" s="2449"/>
      <c r="AR85" s="2449"/>
      <c r="AS85" s="2449"/>
      <c r="AT85" s="2449"/>
      <c r="AU85" s="2449"/>
      <c r="AV85" s="2449"/>
      <c r="AW85" s="2449"/>
      <c r="AX85" s="2449"/>
      <c r="AY85" s="2449"/>
      <c r="AZ85" s="2449"/>
      <c r="BA85" s="2449"/>
      <c r="BB85" s="2449"/>
      <c r="BC85" s="2449"/>
      <c r="BD85" s="2449"/>
      <c r="BE85" s="2449"/>
      <c r="BF85" s="2449"/>
    </row>
    <row s="34580" customFormat="1" customHeight="1" ht="0.75">
      <c r="A86" s="1792"/>
      <c r="B86" s="1792"/>
      <c r="C86" s="1792"/>
      <c r="D86" s="1786"/>
      <c r="E86" s="1796"/>
      <c r="F86" s="3162"/>
      <c r="G86" s="3141"/>
      <c r="H86" s="3166"/>
      <c r="I86" s="3167"/>
      <c r="J86" s="3168"/>
      <c r="K86" s="3168"/>
      <c r="L86" s="3160"/>
      <c r="M86" s="2894"/>
      <c r="N86" s="2664"/>
      <c r="O86" s="2664"/>
      <c r="P86" s="2671"/>
      <c r="Q86" s="2664"/>
      <c r="R86" s="2664"/>
      <c r="S86" s="2664"/>
      <c r="T86" s="2664"/>
      <c r="U86" s="2664"/>
      <c r="V86" s="2664"/>
      <c r="W86" s="2664"/>
      <c r="X86" s="2664"/>
      <c r="Y86" s="2664"/>
      <c r="Z86" s="2664"/>
      <c r="AA86" s="2664"/>
      <c r="AB86" s="2664"/>
      <c r="AC86" s="2664"/>
      <c r="AD86" s="2664"/>
      <c r="AE86" s="2673"/>
      <c r="AF86" s="3164"/>
      <c r="AG86" s="3160"/>
      <c r="AH86" s="3160"/>
      <c r="AI86" s="3164"/>
      <c r="AJ86" s="3160"/>
      <c r="AK86" s="3160"/>
      <c r="AL86" s="2614"/>
      <c r="AM86" s="2449"/>
      <c r="AN86" s="2449"/>
      <c r="AO86" s="2449"/>
      <c r="AP86" s="2449"/>
      <c r="AQ86" s="2449"/>
      <c r="AR86" s="2449"/>
      <c r="AS86" s="2449"/>
      <c r="AT86" s="2449"/>
      <c r="AU86" s="2449"/>
      <c r="AV86" s="2449"/>
      <c r="AW86" s="2449"/>
      <c r="AX86" s="2449"/>
      <c r="AY86" s="2449"/>
      <c r="AZ86" s="2449"/>
      <c r="BA86" s="2449"/>
      <c r="BB86" s="2449"/>
      <c r="BC86" s="2449"/>
      <c r="BD86" s="2449"/>
      <c r="BE86" s="2449"/>
      <c r="BF86" s="2449"/>
    </row>
    <row s="34580" customFormat="1" customHeight="1" ht="12">
      <c r="A87" s="1792"/>
      <c r="B87" s="1792"/>
      <c r="C87" s="1792"/>
      <c r="D87" s="1786"/>
      <c r="E87" s="1796"/>
      <c r="F87" s="3163"/>
      <c r="G87" s="1816"/>
      <c r="H87" s="1816"/>
      <c r="I87" s="3161" t="s">
        <v>2106</v>
      </c>
      <c r="J87" s="3161"/>
      <c r="K87" s="3161"/>
      <c r="L87" s="1799"/>
      <c r="M87" s="1799"/>
      <c r="N87" s="1800"/>
      <c r="O87" s="1800"/>
      <c r="P87" s="1800"/>
      <c r="Q87" s="1800"/>
      <c r="R87" s="1800"/>
      <c r="S87" s="1800"/>
      <c r="T87" s="1800"/>
      <c r="U87" s="1800"/>
      <c r="V87" s="1800"/>
      <c r="W87" s="1800"/>
      <c r="X87" s="1800"/>
      <c r="Y87" s="1800"/>
      <c r="Z87" s="1800"/>
      <c r="AA87" s="1800"/>
      <c r="AB87" s="1800"/>
      <c r="AC87" s="1800"/>
      <c r="AD87" s="1800"/>
      <c r="AE87" s="1800"/>
      <c r="AF87" s="1800"/>
      <c r="AG87" s="1799"/>
      <c r="AH87" s="1799"/>
      <c r="AI87" s="1800"/>
      <c r="AJ87" s="1799"/>
      <c r="AK87" s="1800"/>
      <c r="AL87" s="2614"/>
      <c r="AM87" s="2449"/>
      <c r="AN87" s="2449"/>
      <c r="AO87" s="2449"/>
      <c r="AP87" s="2449"/>
      <c r="AQ87" s="2449"/>
      <c r="AR87" s="2449"/>
      <c r="AS87" s="2449"/>
      <c r="AT87" s="2449"/>
      <c r="AU87" s="2449"/>
      <c r="AV87" s="2449"/>
      <c r="AW87" s="2449"/>
      <c r="AX87" s="2449"/>
      <c r="AY87" s="2449"/>
      <c r="AZ87" s="2449"/>
      <c r="BA87" s="2449"/>
      <c r="BB87" s="2449"/>
      <c r="BC87" s="2449"/>
      <c r="BD87" s="2449"/>
      <c r="BE87" s="2449"/>
      <c r="BF87" s="2449"/>
    </row>
    <row r="89" s="37396" customFormat="1" customHeight="1" ht="11.25">
      <c r="A89" s="2441" t="s">
        <v>2107</v>
      </c>
    </row>
    <row r="91" s="34580" customFormat="1" customHeight="1" ht="11.25">
      <c r="A91" s="1792"/>
      <c r="B91" s="1792"/>
      <c r="C91" s="1792"/>
      <c r="D91" s="1786"/>
      <c r="E91" s="1796"/>
      <c r="F91" s="2455"/>
      <c r="G91" s="2456"/>
      <c r="H91" s="2456"/>
      <c r="I91" s="2390"/>
      <c r="J91" s="2390"/>
      <c r="K91" s="2457"/>
      <c r="L91" s="2390"/>
      <c r="M91" s="2456"/>
      <c r="N91" s="3134"/>
      <c r="O91" s="3217">
        <v>1</v>
      </c>
      <c r="P91" s="3136" t="s">
        <v>19</v>
      </c>
      <c r="Q91" s="3139" t="s">
        <v>22</v>
      </c>
      <c r="R91" s="3139" t="s">
        <v>22</v>
      </c>
      <c r="S91" s="3139" t="s">
        <v>22</v>
      </c>
      <c r="T91" s="3139" t="s">
        <v>22</v>
      </c>
      <c r="U91" s="3139" t="s">
        <v>22</v>
      </c>
      <c r="V91" s="3139" t="s">
        <v>22</v>
      </c>
      <c r="W91" s="3139" t="s">
        <v>22</v>
      </c>
      <c r="X91" s="3139" t="s">
        <v>22</v>
      </c>
      <c r="Y91" s="3139"/>
      <c r="Z91" s="1801"/>
      <c r="AA91" s="1802"/>
      <c r="AB91" s="1802"/>
      <c r="AC91" s="1806"/>
      <c r="AD91" s="1806"/>
      <c r="AE91" s="1806"/>
      <c r="AF91" s="2458"/>
      <c r="AG91" s="2385"/>
      <c r="AH91" s="2385"/>
      <c r="AI91" s="2458"/>
      <c r="AJ91" s="2385"/>
      <c r="AK91" s="2613"/>
      <c r="AL91" s="2614"/>
      <c r="AM91" s="2449"/>
      <c r="AN91" s="2449"/>
      <c r="AO91" s="2449"/>
      <c r="AP91" s="2449"/>
      <c r="AQ91" s="2449"/>
      <c r="AR91" s="2449"/>
      <c r="AS91" s="2449"/>
      <c r="AT91" s="2449"/>
      <c r="AU91" s="2449"/>
      <c r="AV91" s="2449"/>
      <c r="AW91" s="2449"/>
      <c r="AX91" s="2449"/>
      <c r="AY91" s="2449"/>
      <c r="AZ91" s="2449"/>
      <c r="BA91" s="2449"/>
      <c r="BB91" s="2449"/>
      <c r="BC91" s="2449"/>
      <c r="BD91" s="2449"/>
      <c r="BE91" s="2449"/>
      <c r="BF91" s="2449"/>
    </row>
    <row s="34580" customFormat="1" customHeight="1" ht="11.25">
      <c r="A92" s="1792"/>
      <c r="B92" s="1792"/>
      <c r="C92" s="1792"/>
      <c r="D92" s="1786"/>
      <c r="E92" s="1796"/>
      <c r="F92" s="2455"/>
      <c r="G92" s="2456"/>
      <c r="H92" s="2456"/>
      <c r="I92" s="2391"/>
      <c r="J92" s="2391"/>
      <c r="K92" s="2457"/>
      <c r="L92" s="2391"/>
      <c r="M92" s="2456"/>
      <c r="N92" s="3134"/>
      <c r="O92" s="3217"/>
      <c r="P92" s="3137"/>
      <c r="Q92" s="3139"/>
      <c r="R92" s="3139"/>
      <c r="S92" s="3140"/>
      <c r="T92" s="3139"/>
      <c r="U92" s="3139"/>
      <c r="V92" s="3139"/>
      <c r="W92" s="3139"/>
      <c r="X92" s="3139"/>
      <c r="Y92" s="3139"/>
      <c r="Z92" s="2454"/>
      <c r="AA92" s="2420">
        <v>1</v>
      </c>
      <c r="AB92" s="1805"/>
      <c r="AC92" s="1795"/>
      <c r="AD92" s="1805">
        <f>AB92</f>
        <v>0</v>
      </c>
      <c r="AE92" s="1350"/>
      <c r="AF92" s="2457"/>
      <c r="AG92" s="2385"/>
      <c r="AH92" s="2385"/>
      <c r="AI92" s="2457"/>
      <c r="AJ92" s="2385"/>
      <c r="AK92" s="2613"/>
      <c r="AL92" s="2614"/>
      <c r="AM92" s="2449"/>
      <c r="AN92" s="2449"/>
      <c r="AO92" s="2449"/>
      <c r="AP92" s="2449"/>
      <c r="AQ92" s="2449"/>
      <c r="AR92" s="2449"/>
      <c r="AS92" s="2449"/>
      <c r="AT92" s="2449"/>
      <c r="AU92" s="2449"/>
      <c r="AV92" s="2449"/>
      <c r="AW92" s="2449"/>
      <c r="AX92" s="2449"/>
      <c r="AY92" s="2449"/>
      <c r="AZ92" s="2449"/>
      <c r="BA92" s="2449"/>
      <c r="BB92" s="2449"/>
      <c r="BC92" s="2449"/>
      <c r="BD92" s="2449"/>
      <c r="BE92" s="2449"/>
      <c r="BF92" s="2449"/>
    </row>
    <row s="34580" customFormat="1" customHeight="1" ht="11.25">
      <c r="A93" s="1792"/>
      <c r="B93" s="1792"/>
      <c r="C93" s="1792"/>
      <c r="D93" s="1786"/>
      <c r="E93" s="1796"/>
      <c r="F93" s="2455"/>
      <c r="G93" s="2456"/>
      <c r="H93" s="2456"/>
      <c r="I93" s="2392"/>
      <c r="J93" s="2392"/>
      <c r="K93" s="2457"/>
      <c r="L93" s="2392"/>
      <c r="M93" s="2456"/>
      <c r="N93" s="3134"/>
      <c r="O93" s="3217"/>
      <c r="P93" s="3138"/>
      <c r="Q93" s="3139"/>
      <c r="R93" s="3139"/>
      <c r="S93" s="3140"/>
      <c r="T93" s="3139"/>
      <c r="U93" s="3139"/>
      <c r="V93" s="3139"/>
      <c r="W93" s="3139"/>
      <c r="X93" s="3139"/>
      <c r="Y93" s="3139"/>
      <c r="Z93" s="1801"/>
      <c r="AA93" s="1802"/>
      <c r="AB93" s="1867" t="s">
        <v>2108</v>
      </c>
      <c r="AC93" s="1806"/>
      <c r="AD93" s="1806"/>
      <c r="AE93" s="1806"/>
      <c r="AF93" s="2459"/>
      <c r="AG93" s="2385"/>
      <c r="AH93" s="2385"/>
      <c r="AI93" s="2459"/>
      <c r="AJ93" s="2385"/>
      <c r="AK93" s="2613"/>
      <c r="AL93" s="2614"/>
      <c r="AM93" s="2449"/>
      <c r="AN93" s="2449"/>
      <c r="AO93" s="2449"/>
      <c r="AP93" s="2449"/>
      <c r="AQ93" s="2449"/>
      <c r="AR93" s="2449"/>
      <c r="AS93" s="2449"/>
      <c r="AT93" s="2449"/>
      <c r="AU93" s="2449"/>
      <c r="AV93" s="2449"/>
      <c r="AW93" s="2449"/>
      <c r="AX93" s="2449"/>
      <c r="AY93" s="2449"/>
      <c r="AZ93" s="2449"/>
      <c r="BA93" s="2449"/>
      <c r="BB93" s="2449"/>
      <c r="BC93" s="2449"/>
      <c r="BD93" s="2449"/>
      <c r="BE93" s="2449"/>
      <c r="BF93" s="2449"/>
    </row>
    <row r="95" s="37396" customFormat="1" customHeight="1" ht="11.25">
      <c r="A95" s="2441" t="s">
        <v>2109</v>
      </c>
    </row>
    <row r="97" s="34580" customFormat="1" customHeight="1" ht="11.25">
      <c r="A97" s="1792"/>
      <c r="B97" s="1792"/>
      <c r="C97" s="1792"/>
      <c r="D97" s="1786"/>
      <c r="E97" s="1796"/>
      <c r="F97" s="2456"/>
      <c r="G97" s="2456"/>
      <c r="H97" s="2456"/>
      <c r="I97" s="2456"/>
      <c r="J97" s="2456"/>
      <c r="K97" s="2456"/>
      <c r="L97" s="2456"/>
      <c r="M97" s="2456"/>
      <c r="N97" s="2456"/>
      <c r="O97" s="2456"/>
      <c r="P97" s="2456"/>
      <c r="Q97" s="2456"/>
      <c r="R97" s="2456"/>
      <c r="S97" s="2456"/>
      <c r="T97" s="2456"/>
      <c r="U97" s="2456"/>
      <c r="V97" s="2456"/>
      <c r="W97" s="2456"/>
      <c r="X97" s="2456"/>
      <c r="Y97" s="2456"/>
      <c r="Z97" s="2460"/>
      <c r="AA97" s="2440">
        <v>1</v>
      </c>
      <c r="AB97" s="1805"/>
      <c r="AC97" s="1795"/>
      <c r="AD97" s="1805">
        <f>AB97</f>
        <v>0</v>
      </c>
      <c r="AE97" s="1795"/>
      <c r="AF97" s="2457"/>
      <c r="AG97" s="2385"/>
      <c r="AH97" s="2385"/>
      <c r="AI97" s="2457"/>
      <c r="AJ97" s="2385"/>
      <c r="AK97" s="2613"/>
      <c r="AL97" s="2614"/>
      <c r="AM97" s="2449"/>
      <c r="AN97" s="2449"/>
      <c r="AO97" s="2449"/>
      <c r="AP97" s="2449"/>
      <c r="AQ97" s="2449"/>
      <c r="AR97" s="2449"/>
      <c r="AS97" s="2449"/>
      <c r="AT97" s="2449"/>
      <c r="AU97" s="2449"/>
      <c r="AV97" s="2449"/>
      <c r="AW97" s="2449"/>
      <c r="AX97" s="2449"/>
      <c r="AY97" s="2449"/>
      <c r="AZ97" s="2449"/>
      <c r="BA97" s="2449"/>
      <c r="BB97" s="2449"/>
      <c r="BC97" s="2449"/>
      <c r="BD97" s="2449"/>
      <c r="BE97" s="2449"/>
      <c r="BF97" s="2449"/>
    </row>
    <row r="99" s="37396" customFormat="1" customHeight="1" ht="11.25">
      <c r="A99" s="2441" t="s">
        <v>2110</v>
      </c>
    </row>
    <row r="101" s="34580" customFormat="1" customHeight="1" ht="11.25">
      <c r="A101" s="1792"/>
      <c r="B101" s="1792"/>
      <c r="C101" s="1792"/>
      <c r="D101" s="1786"/>
      <c r="E101" s="1796"/>
      <c r="F101" s="2455"/>
      <c r="G101" s="2456"/>
      <c r="H101" s="3141" t="s">
        <v>118</v>
      </c>
      <c r="I101" s="3142"/>
      <c r="J101" s="3111"/>
      <c r="K101" s="3143"/>
      <c r="L101" s="2733" t="s">
        <v>19</v>
      </c>
      <c r="M101" s="2734"/>
      <c r="N101" s="2612"/>
      <c r="O101" s="1803" t="s">
        <v>394</v>
      </c>
      <c r="P101" s="1804"/>
      <c r="Q101" s="1804"/>
      <c r="R101" s="1804"/>
      <c r="S101" s="1804"/>
      <c r="T101" s="1804"/>
      <c r="U101" s="1804"/>
      <c r="V101" s="1804"/>
      <c r="W101" s="1804"/>
      <c r="X101" s="1804"/>
      <c r="Y101" s="1804"/>
      <c r="Z101" s="1804"/>
      <c r="AA101" s="1804"/>
      <c r="AB101" s="1804"/>
      <c r="AC101" s="1804"/>
      <c r="AD101" s="1804"/>
      <c r="AE101" s="1804"/>
      <c r="AF101" s="3132"/>
      <c r="AG101" s="3133"/>
      <c r="AH101" s="3133"/>
      <c r="AI101" s="3132"/>
      <c r="AJ101" s="3133"/>
      <c r="AK101" s="3133"/>
      <c r="AL101" s="2614"/>
      <c r="AM101" s="2449"/>
      <c r="AN101" s="2449"/>
      <c r="AO101" s="2449"/>
      <c r="AP101" s="2449"/>
      <c r="AQ101" s="2449"/>
      <c r="AR101" s="2449"/>
      <c r="AS101" s="2449"/>
      <c r="AT101" s="2449"/>
      <c r="AU101" s="2449"/>
      <c r="AV101" s="2449"/>
      <c r="AW101" s="2449"/>
      <c r="AX101" s="2449"/>
      <c r="AY101" s="2449"/>
      <c r="AZ101" s="2449"/>
      <c r="BA101" s="2449"/>
      <c r="BB101" s="2449"/>
      <c r="BC101" s="2449"/>
      <c r="BD101" s="2449"/>
      <c r="BE101" s="2449"/>
      <c r="BF101" s="2449"/>
    </row>
    <row s="34580" customFormat="1" customHeight="1" ht="11.25">
      <c r="A102" s="1792"/>
      <c r="B102" s="1792"/>
      <c r="C102" s="1792"/>
      <c r="D102" s="1786"/>
      <c r="E102" s="1796"/>
      <c r="F102" s="2455"/>
      <c r="G102" s="2456"/>
      <c r="H102" s="3141"/>
      <c r="I102" s="3142"/>
      <c r="J102" s="3111"/>
      <c r="K102" s="3143"/>
      <c r="L102" s="2733"/>
      <c r="M102" s="2734"/>
      <c r="N102" s="3134"/>
      <c r="O102" s="3135">
        <v>1</v>
      </c>
      <c r="P102" s="3136" t="s">
        <v>19</v>
      </c>
      <c r="Q102" s="3139" t="s">
        <v>22</v>
      </c>
      <c r="R102" s="3139" t="s">
        <v>22</v>
      </c>
      <c r="S102" s="3139" t="s">
        <v>22</v>
      </c>
      <c r="T102" s="3139" t="s">
        <v>22</v>
      </c>
      <c r="U102" s="3139" t="s">
        <v>22</v>
      </c>
      <c r="V102" s="3139" t="s">
        <v>22</v>
      </c>
      <c r="W102" s="3139" t="s">
        <v>22</v>
      </c>
      <c r="X102" s="3139" t="s">
        <v>22</v>
      </c>
      <c r="Y102" s="3139"/>
      <c r="Z102" s="1801"/>
      <c r="AA102" s="1802"/>
      <c r="AB102" s="1802"/>
      <c r="AC102" s="1806"/>
      <c r="AD102" s="1806"/>
      <c r="AE102" s="1807"/>
      <c r="AF102" s="3132"/>
      <c r="AG102" s="3133"/>
      <c r="AH102" s="3133"/>
      <c r="AI102" s="3132"/>
      <c r="AJ102" s="3133"/>
      <c r="AK102" s="3133"/>
      <c r="AL102" s="2614"/>
      <c r="AM102" s="2449"/>
      <c r="AN102" s="2449"/>
      <c r="AO102" s="2449"/>
      <c r="AP102" s="2449"/>
      <c r="AQ102" s="2449"/>
      <c r="AR102" s="2449"/>
      <c r="AS102" s="2449"/>
      <c r="AT102" s="2449"/>
      <c r="AU102" s="2449"/>
      <c r="AV102" s="2449"/>
      <c r="AW102" s="2449"/>
      <c r="AX102" s="2449"/>
      <c r="AY102" s="2449"/>
      <c r="AZ102" s="2449"/>
      <c r="BA102" s="2449"/>
      <c r="BB102" s="2449"/>
      <c r="BC102" s="2449"/>
      <c r="BD102" s="2449"/>
      <c r="BE102" s="2449"/>
      <c r="BF102" s="2449"/>
    </row>
    <row s="34580" customFormat="1" customHeight="1" ht="11.25">
      <c r="A103" s="1792"/>
      <c r="B103" s="1792"/>
      <c r="C103" s="1792"/>
      <c r="D103" s="1786"/>
      <c r="E103" s="1796"/>
      <c r="F103" s="2455"/>
      <c r="G103" s="2456"/>
      <c r="H103" s="3141"/>
      <c r="I103" s="3142"/>
      <c r="J103" s="3111"/>
      <c r="K103" s="3143"/>
      <c r="L103" s="2733"/>
      <c r="M103" s="2734"/>
      <c r="N103" s="3134"/>
      <c r="O103" s="3135"/>
      <c r="P103" s="3137"/>
      <c r="Q103" s="3139"/>
      <c r="R103" s="3139"/>
      <c r="S103" s="3140"/>
      <c r="T103" s="3139"/>
      <c r="U103" s="3139"/>
      <c r="V103" s="3139"/>
      <c r="W103" s="3139"/>
      <c r="X103" s="3139"/>
      <c r="Y103" s="3139"/>
      <c r="Z103" s="2454"/>
      <c r="AA103" s="2420">
        <v>1</v>
      </c>
      <c r="AB103" s="1805"/>
      <c r="AC103" s="1795"/>
      <c r="AD103" s="1805">
        <f>AB103</f>
        <v>0</v>
      </c>
      <c r="AE103" s="1795"/>
      <c r="AF103" s="3132"/>
      <c r="AG103" s="3133"/>
      <c r="AH103" s="3133"/>
      <c r="AI103" s="3132"/>
      <c r="AJ103" s="3133"/>
      <c r="AK103" s="3133"/>
      <c r="AL103" s="2614"/>
      <c r="AM103" s="2449"/>
      <c r="AN103" s="2449"/>
      <c r="AO103" s="2449"/>
      <c r="AP103" s="2449"/>
      <c r="AQ103" s="2449"/>
      <c r="AR103" s="2449"/>
      <c r="AS103" s="2449"/>
      <c r="AT103" s="2449"/>
      <c r="AU103" s="2449"/>
      <c r="AV103" s="2449"/>
      <c r="AW103" s="2449"/>
      <c r="AX103" s="2449"/>
      <c r="AY103" s="2449"/>
      <c r="AZ103" s="2449"/>
      <c r="BA103" s="2449"/>
      <c r="BB103" s="2449"/>
      <c r="BC103" s="2449"/>
      <c r="BD103" s="2449"/>
      <c r="BE103" s="2449"/>
      <c r="BF103" s="2449"/>
    </row>
    <row s="34580" customFormat="1" customHeight="1" ht="11.25">
      <c r="A104" s="1792"/>
      <c r="B104" s="1792"/>
      <c r="C104" s="1792"/>
      <c r="D104" s="1786"/>
      <c r="E104" s="1796"/>
      <c r="F104" s="2455"/>
      <c r="G104" s="2456"/>
      <c r="H104" s="3141"/>
      <c r="I104" s="3142"/>
      <c r="J104" s="3111"/>
      <c r="K104" s="3143"/>
      <c r="L104" s="2733"/>
      <c r="M104" s="2734"/>
      <c r="N104" s="3134"/>
      <c r="O104" s="3135"/>
      <c r="P104" s="3138"/>
      <c r="Q104" s="3139"/>
      <c r="R104" s="3139"/>
      <c r="S104" s="3140"/>
      <c r="T104" s="3139"/>
      <c r="U104" s="3139"/>
      <c r="V104" s="3139"/>
      <c r="W104" s="3139"/>
      <c r="X104" s="3139"/>
      <c r="Y104" s="3139"/>
      <c r="Z104" s="1801"/>
      <c r="AA104" s="1802"/>
      <c r="AB104" s="1867" t="s">
        <v>2108</v>
      </c>
      <c r="AC104" s="1806"/>
      <c r="AD104" s="1806"/>
      <c r="AE104" s="1808"/>
      <c r="AF104" s="3132"/>
      <c r="AG104" s="3133"/>
      <c r="AH104" s="3133"/>
      <c r="AI104" s="3132"/>
      <c r="AJ104" s="3133"/>
      <c r="AK104" s="3133"/>
      <c r="AL104" s="2614"/>
      <c r="AM104" s="2449"/>
      <c r="AN104" s="2449"/>
      <c r="AO104" s="2449"/>
      <c r="AP104" s="2449"/>
      <c r="AQ104" s="2449"/>
      <c r="AR104" s="2449"/>
      <c r="AS104" s="2449"/>
      <c r="AT104" s="2449"/>
      <c r="AU104" s="2449"/>
      <c r="AV104" s="2449"/>
      <c r="AW104" s="2449"/>
      <c r="AX104" s="2449"/>
      <c r="AY104" s="2449"/>
      <c r="AZ104" s="2449"/>
      <c r="BA104" s="2449"/>
      <c r="BB104" s="2449"/>
      <c r="BC104" s="2449"/>
      <c r="BD104" s="2449"/>
      <c r="BE104" s="2449"/>
      <c r="BF104" s="2449"/>
    </row>
    <row s="34580" customFormat="1" customHeight="1" ht="11.25">
      <c r="A105" s="1792"/>
      <c r="B105" s="1792"/>
      <c r="C105" s="1792"/>
      <c r="D105" s="1786"/>
      <c r="E105" s="1796"/>
      <c r="F105" s="2455"/>
      <c r="G105" s="2456"/>
      <c r="H105" s="3141"/>
      <c r="I105" s="3142"/>
      <c r="J105" s="3111"/>
      <c r="K105" s="3143"/>
      <c r="L105" s="2733"/>
      <c r="M105" s="2734"/>
      <c r="N105" s="1801"/>
      <c r="O105" s="1802"/>
      <c r="P105" s="1794" t="s">
        <v>2111</v>
      </c>
      <c r="Q105" s="1802"/>
      <c r="R105" s="1802"/>
      <c r="S105" s="1802"/>
      <c r="T105" s="1802"/>
      <c r="U105" s="1802"/>
      <c r="V105" s="1802"/>
      <c r="W105" s="1802"/>
      <c r="X105" s="1802"/>
      <c r="Y105" s="1802"/>
      <c r="Z105" s="1802"/>
      <c r="AA105" s="1802"/>
      <c r="AB105" s="1802"/>
      <c r="AC105" s="1802"/>
      <c r="AD105" s="1802"/>
      <c r="AE105" s="1809"/>
      <c r="AF105" s="3132"/>
      <c r="AG105" s="3133"/>
      <c r="AH105" s="3133"/>
      <c r="AI105" s="3132"/>
      <c r="AJ105" s="3133"/>
      <c r="AK105" s="3133"/>
      <c r="AL105" s="2614"/>
      <c r="AM105" s="2449"/>
      <c r="AN105" s="2449"/>
      <c r="AO105" s="2449"/>
      <c r="AP105" s="2449"/>
      <c r="AQ105" s="2449"/>
      <c r="AR105" s="2449"/>
      <c r="AS105" s="2449"/>
      <c r="AT105" s="2449"/>
      <c r="AU105" s="2449"/>
      <c r="AV105" s="2449"/>
      <c r="AW105" s="2449"/>
      <c r="AX105" s="2449"/>
      <c r="AY105" s="2449"/>
      <c r="AZ105" s="2449"/>
      <c r="BA105" s="2449"/>
      <c r="BB105" s="2449"/>
      <c r="BC105" s="2449"/>
      <c r="BD105" s="2449"/>
      <c r="BE105" s="2449"/>
      <c r="BF105" s="2449"/>
    </row>
    <row r="107" s="37396" customFormat="1" customHeight="1" ht="11.25">
      <c r="A107" s="2441" t="s">
        <v>2112</v>
      </c>
    </row>
    <row customHeight="1" ht="17.25"/>
    <row s="36917" customFormat="1" customHeight="1" ht="21">
      <c r="A109" s="1793"/>
      <c r="B109" s="1566"/>
      <c r="D109" s="1550"/>
      <c r="E109" s="1565" t="s">
        <v>22</v>
      </c>
      <c r="F109" s="1747">
        <f>INDEX(IP_MAIN_LIST_NAME_IP,MATCH(A109,IP_MAIN_LIST_IP_ID,0))&amp;" ("&amp;INDEX(IP_MAIN_START_DATE,MATCH(A109,IP_MAIN_LIST_IP_ID,0))&amp;"-"&amp;INDEX(IP_MAIN_END_DATE,MATCH(A109,IP_MAIN_LIST_IP_ID,0))&amp;")"</f>
      </c>
      <c r="G109" s="1829"/>
      <c r="H109" s="1830"/>
      <c r="I109" s="1830"/>
      <c r="J109" s="1830"/>
      <c r="K109" s="1830"/>
      <c r="L109" s="1830"/>
      <c r="M109" s="1830"/>
      <c r="N109" s="1830"/>
      <c r="O109" s="1829"/>
      <c r="P109" s="1829"/>
      <c r="Q109" s="1829"/>
      <c r="R109" s="1829"/>
      <c r="S109" s="1829"/>
      <c r="T109" s="1829"/>
      <c r="U109" s="1831"/>
      <c r="V109" s="1831"/>
      <c r="W109" s="1831"/>
      <c r="X109" s="1831"/>
      <c r="Y109" s="1831"/>
      <c r="Z109" s="1831"/>
      <c r="AA109" s="1831"/>
      <c r="AB109" s="1829"/>
      <c r="AC109" s="1830"/>
      <c r="AD109" s="1830"/>
      <c r="AE109" s="1830"/>
      <c r="AF109" s="1830"/>
      <c r="AG109" s="1830"/>
      <c r="AH109" s="1830"/>
      <c r="AI109" s="1830"/>
      <c r="AJ109" s="1830"/>
      <c r="AK109" s="1830"/>
      <c r="AL109" s="1830"/>
      <c r="AM109" s="1830"/>
      <c r="AN109" s="1830"/>
      <c r="AO109" s="1830"/>
      <c r="AP109" s="1830"/>
      <c r="AQ109" s="1830"/>
      <c r="AR109" s="1830"/>
      <c r="AS109" s="1830"/>
      <c r="AT109" s="1830"/>
      <c r="AU109" s="1830"/>
      <c r="AV109" s="1830"/>
      <c r="AW109" s="1830"/>
      <c r="AX109" s="1830"/>
      <c r="AY109" s="1830"/>
      <c r="AZ109" s="1830"/>
      <c r="BA109" s="1830"/>
      <c r="BB109" s="1830"/>
      <c r="BC109" s="1830"/>
      <c r="BD109" s="1830"/>
      <c r="BE109" s="1830"/>
      <c r="BF109" s="1830"/>
      <c r="BG109" s="1830"/>
      <c r="BH109" s="1830"/>
      <c r="BI109" s="1830"/>
      <c r="BJ109" s="1830"/>
      <c r="BK109" s="1830"/>
      <c r="BL109" s="1830"/>
      <c r="BM109" s="1830"/>
      <c r="BN109" s="1830"/>
      <c r="BO109" s="1830"/>
      <c r="BP109" s="1830"/>
      <c r="BQ109" s="1830"/>
      <c r="BR109" s="1830"/>
      <c r="BS109" s="1830"/>
      <c r="BT109" s="1830"/>
      <c r="BU109" s="1830"/>
      <c r="BV109" s="1830"/>
      <c r="BW109" s="1830"/>
      <c r="BX109" s="1830"/>
      <c r="BY109" s="1830"/>
      <c r="BZ109" s="1830"/>
      <c r="CA109" s="1830"/>
      <c r="CB109" s="1830"/>
      <c r="CC109" s="1830"/>
      <c r="CD109" s="1830"/>
      <c r="CE109" s="1830"/>
      <c r="CF109" s="1830"/>
      <c r="CG109" s="1830"/>
      <c r="CH109" s="1830"/>
      <c r="CI109" s="1830"/>
      <c r="CJ109" s="1830"/>
      <c r="CK109" s="1830"/>
      <c r="CL109" s="1832"/>
      <c r="CM109" s="1832"/>
      <c r="CN109" s="1832"/>
      <c r="CO109" s="1832"/>
      <c r="CP109" s="1832"/>
      <c r="CQ109" s="1832"/>
      <c r="CR109" s="1832"/>
      <c r="CS109" s="1832"/>
      <c r="CT109" s="1832"/>
      <c r="CU109" s="1832"/>
      <c r="CV109" s="1832"/>
      <c r="CW109" s="1832"/>
      <c r="CX109" s="1832"/>
      <c r="CY109" s="1832"/>
      <c r="CZ109" s="1832"/>
      <c r="DA109" s="1832"/>
      <c r="DB109" s="1832"/>
      <c r="DC109" s="1832"/>
      <c r="DD109" s="1832"/>
      <c r="DE109" s="1832"/>
      <c r="DF109" s="1832"/>
      <c r="DG109" s="1832"/>
      <c r="DH109" s="1832"/>
      <c r="DI109" s="1832"/>
      <c r="DJ109" s="1832"/>
      <c r="DK109" s="1832"/>
      <c r="DL109" s="1832"/>
      <c r="DM109" s="1832"/>
      <c r="DN109" s="1832"/>
      <c r="DO109" s="1832"/>
      <c r="DP109" s="1832"/>
      <c r="DQ109" s="1832"/>
      <c r="DR109" s="1832"/>
      <c r="DS109" s="1832"/>
      <c r="DT109" s="1832"/>
      <c r="DU109" s="1832"/>
      <c r="DV109" s="1832"/>
      <c r="DW109" s="1832"/>
      <c r="DX109" s="1832"/>
      <c r="DY109" s="1832"/>
      <c r="DZ109" s="1832"/>
      <c r="EA109" s="1832"/>
      <c r="EB109" s="1832"/>
      <c r="EC109" s="1832"/>
      <c r="ED109" s="1832"/>
      <c r="EE109" s="1832"/>
      <c r="EF109" s="1832"/>
      <c r="EG109" s="1832"/>
      <c r="EH109" s="1832"/>
      <c r="EI109" s="1832"/>
      <c r="EJ109" s="1832"/>
      <c r="EK109" s="1832"/>
      <c r="EL109" s="1832"/>
      <c r="EM109" s="1832"/>
      <c r="EN109" s="1832"/>
      <c r="EO109" s="1832"/>
      <c r="EP109" s="1832"/>
      <c r="EQ109" s="1832"/>
      <c r="ER109" s="1832"/>
      <c r="ES109" s="1832"/>
      <c r="ET109" s="1832"/>
      <c r="EU109" s="1832"/>
      <c r="EV109" s="1832"/>
      <c r="EW109" s="1832"/>
      <c r="EX109" s="1832"/>
      <c r="EY109" s="1832"/>
      <c r="EZ109" s="1832"/>
      <c r="FA109" s="1832"/>
      <c r="FB109" s="1832"/>
      <c r="FC109" s="1832"/>
      <c r="FD109" s="1832"/>
      <c r="FE109" s="1832"/>
      <c r="FF109" s="1832"/>
      <c r="FG109" s="1832"/>
      <c r="FH109" s="1832"/>
      <c r="FI109" s="1832"/>
      <c r="FJ109" s="1832"/>
      <c r="FK109" s="1832"/>
      <c r="FL109" s="1832"/>
      <c r="FM109" s="1832"/>
      <c r="FN109" s="1832"/>
      <c r="FO109" s="1832"/>
      <c r="FP109" s="1832"/>
      <c r="FQ109" s="1832"/>
      <c r="FR109" s="1832"/>
      <c r="FS109" s="1832"/>
      <c r="FT109" s="1832"/>
      <c r="FU109" s="1832"/>
      <c r="FV109" s="1833"/>
      <c r="FW109" s="1827"/>
      <c r="FX109" s="1828"/>
    </row>
    <row s="36917" customFormat="1" customHeight="1" ht="24.75">
      <c r="B110" s="1549"/>
      <c r="C110" s="1550"/>
      <c r="D110" s="1550"/>
      <c r="E110" s="2461"/>
      <c r="F110" s="1834">
        <v>1</v>
      </c>
      <c r="G110" s="1835"/>
      <c r="H110" s="1836"/>
      <c r="I110" s="2608"/>
      <c r="J110" s="1837"/>
      <c r="K110" s="1837"/>
      <c r="L110" s="1837"/>
      <c r="M110" s="1837"/>
      <c r="N110" s="1837"/>
      <c r="O110" s="1838"/>
      <c r="P110" s="1838"/>
      <c r="Q110" s="1838"/>
      <c r="R110" s="1838"/>
      <c r="S110" s="1838"/>
      <c r="T110" s="1838"/>
      <c r="U110" s="1838"/>
      <c r="V110" s="1838"/>
      <c r="W110" s="1838"/>
      <c r="X110" s="1838"/>
      <c r="Y110" s="1838"/>
      <c r="Z110" s="1838"/>
      <c r="AA110" s="1838"/>
      <c r="AB110" s="1838"/>
      <c r="AC110" s="1837"/>
      <c r="AD110" s="1837"/>
      <c r="AE110" s="1837"/>
      <c r="AF110" s="1837"/>
      <c r="AG110" s="1837"/>
      <c r="AH110" s="1837"/>
      <c r="AI110" s="1837"/>
      <c r="AJ110" s="1837"/>
      <c r="AK110" s="1837"/>
      <c r="AL110" s="1837"/>
      <c r="AM110" s="1837"/>
      <c r="AN110" s="1837"/>
      <c r="AO110" s="1837"/>
      <c r="AP110" s="1837"/>
      <c r="AQ110" s="1837"/>
      <c r="AR110" s="1837"/>
      <c r="AS110" s="1837"/>
      <c r="AT110" s="1837"/>
      <c r="AU110" s="1837"/>
      <c r="AV110" s="1837"/>
      <c r="AW110" s="1837"/>
      <c r="AX110" s="1837"/>
      <c r="AY110" s="1837"/>
      <c r="AZ110" s="1837"/>
      <c r="BA110" s="1837"/>
      <c r="BB110" s="1837"/>
      <c r="BC110" s="1837"/>
      <c r="BD110" s="1837"/>
      <c r="BE110" s="1837"/>
      <c r="BF110" s="1837"/>
      <c r="BG110" s="1837"/>
      <c r="BH110" s="1837"/>
      <c r="BI110" s="1837"/>
      <c r="BJ110" s="1837"/>
      <c r="BK110" s="1837"/>
      <c r="BL110" s="1837"/>
      <c r="BM110" s="1837"/>
      <c r="BN110" s="1837"/>
      <c r="BO110" s="1837"/>
      <c r="BP110" s="1837"/>
      <c r="BQ110" s="1837"/>
      <c r="BR110" s="1837"/>
      <c r="BS110" s="1837"/>
      <c r="BT110" s="1838"/>
      <c r="BU110" s="1838"/>
      <c r="BV110" s="1838"/>
      <c r="BW110" s="1838"/>
      <c r="BX110" s="1838"/>
      <c r="BY110" s="1838"/>
      <c r="BZ110" s="1838"/>
      <c r="CA110" s="1838"/>
      <c r="CB110" s="1838"/>
      <c r="CC110" s="1838"/>
      <c r="CD110" s="1838"/>
      <c r="CE110" s="1838"/>
      <c r="CF110" s="1838"/>
      <c r="CG110" s="1838"/>
      <c r="CH110" s="1838"/>
      <c r="CI110" s="1838"/>
      <c r="CJ110" s="1838"/>
      <c r="CK110" s="1838"/>
      <c r="CL110" s="1837"/>
      <c r="CM110" s="1837"/>
      <c r="CN110" s="1837"/>
      <c r="CO110" s="1837"/>
      <c r="CP110" s="1837"/>
      <c r="CQ110" s="1837"/>
      <c r="CR110" s="1837"/>
      <c r="CS110" s="1837"/>
      <c r="CT110" s="1837"/>
      <c r="CU110" s="1837"/>
      <c r="CV110" s="1837"/>
      <c r="CW110" s="1837"/>
      <c r="CX110" s="1837"/>
      <c r="CY110" s="1838"/>
      <c r="CZ110" s="1838"/>
      <c r="DA110" s="1838"/>
      <c r="DB110" s="1838"/>
      <c r="DC110" s="1838"/>
      <c r="DD110" s="1838"/>
      <c r="DE110" s="1838"/>
      <c r="DF110" s="1838"/>
      <c r="DG110" s="1838"/>
      <c r="DH110" s="1838"/>
      <c r="DI110" s="1838"/>
      <c r="DJ110" s="1838"/>
      <c r="DK110" s="1837"/>
      <c r="DL110" s="1837"/>
      <c r="DM110" s="1837"/>
      <c r="DN110" s="1837"/>
      <c r="DO110" s="1837"/>
      <c r="DP110" s="1837"/>
      <c r="DQ110" s="1837"/>
      <c r="DR110" s="1837"/>
      <c r="DS110" s="1837"/>
      <c r="DT110" s="1837"/>
      <c r="DU110" s="1837"/>
      <c r="DV110" s="1837"/>
      <c r="DW110" s="1837"/>
      <c r="DX110" s="1837"/>
      <c r="DY110" s="1837"/>
      <c r="DZ110" s="1837"/>
      <c r="EA110" s="1837"/>
      <c r="EB110" s="1837"/>
      <c r="EC110" s="1837"/>
      <c r="ED110" s="1837"/>
      <c r="EE110" s="1837"/>
      <c r="EF110" s="1837"/>
      <c r="EG110" s="1837"/>
      <c r="EH110" s="1837"/>
      <c r="EI110" s="1837"/>
      <c r="EJ110" s="1837"/>
      <c r="EK110" s="1837"/>
      <c r="EL110" s="1837"/>
      <c r="EM110" s="1837"/>
      <c r="EN110" s="1837"/>
      <c r="EO110" s="1837"/>
      <c r="EP110" s="1837"/>
      <c r="EQ110" s="1837"/>
      <c r="ER110" s="1837"/>
      <c r="ES110" s="1837"/>
      <c r="ET110" s="1837"/>
      <c r="EU110" s="1837"/>
      <c r="EV110" s="1837"/>
      <c r="EW110" s="1837"/>
      <c r="EX110" s="1837"/>
      <c r="EY110" s="1837"/>
      <c r="EZ110" s="1837"/>
      <c r="FA110" s="1837"/>
      <c r="FB110" s="1837"/>
      <c r="FC110" s="1837"/>
      <c r="FD110" s="1837"/>
      <c r="FE110" s="1837"/>
      <c r="FF110" s="1837"/>
      <c r="FG110" s="1837"/>
      <c r="FH110" s="1837"/>
      <c r="FI110" s="1837"/>
      <c r="FJ110" s="1837"/>
      <c r="FK110" s="1837"/>
      <c r="FL110" s="1837"/>
      <c r="FM110" s="1837"/>
      <c r="FN110" s="1837"/>
      <c r="FO110" s="1837"/>
      <c r="FP110" s="1837"/>
      <c r="FQ110" s="1837"/>
      <c r="FR110" s="1837"/>
      <c r="FS110" s="1837"/>
      <c r="FT110" s="1837"/>
      <c r="FU110" s="1837"/>
      <c r="FV110" s="1837"/>
      <c r="FW110" s="1837"/>
      <c r="FX110" s="1828"/>
    </row>
    <row s="36917" customFormat="1" customHeight="1" ht="12">
      <c r="A111" s="1550"/>
      <c r="B111" s="1549"/>
      <c r="C111" s="1550"/>
      <c r="D111" s="1550"/>
      <c r="E111" s="1550"/>
      <c r="F111" s="1839"/>
      <c r="G111" s="2426" t="s">
        <v>2113</v>
      </c>
      <c r="H111" s="1840"/>
      <c r="I111" s="1840"/>
      <c r="J111" s="1840"/>
      <c r="K111" s="1840"/>
      <c r="L111" s="1840"/>
      <c r="M111" s="1840"/>
      <c r="N111" s="1840"/>
      <c r="O111" s="1840"/>
      <c r="P111" s="1840"/>
      <c r="Q111" s="1840"/>
      <c r="R111" s="1840"/>
      <c r="S111" s="1840"/>
      <c r="T111" s="1840"/>
      <c r="U111" s="1840"/>
      <c r="V111" s="1840"/>
      <c r="W111" s="1840"/>
      <c r="X111" s="1840"/>
      <c r="Y111" s="1840"/>
      <c r="Z111" s="1840"/>
      <c r="AA111" s="1840"/>
      <c r="AB111" s="1840"/>
      <c r="AC111" s="1840"/>
      <c r="AD111" s="1840"/>
      <c r="AE111" s="1840"/>
      <c r="AF111" s="1840"/>
      <c r="AG111" s="1840"/>
      <c r="AH111" s="1840"/>
      <c r="AI111" s="1840"/>
      <c r="AJ111" s="1840"/>
      <c r="AK111" s="1840"/>
      <c r="AL111" s="1840"/>
      <c r="AM111" s="1840"/>
      <c r="AN111" s="1840"/>
      <c r="AO111" s="1840"/>
      <c r="AP111" s="1840"/>
      <c r="AQ111" s="1840"/>
      <c r="AR111" s="1840"/>
      <c r="AS111" s="1840"/>
      <c r="AT111" s="1840"/>
      <c r="AU111" s="1840"/>
      <c r="AV111" s="1840"/>
      <c r="AW111" s="1840"/>
      <c r="AX111" s="1840"/>
      <c r="AY111" s="1840"/>
      <c r="AZ111" s="1840"/>
      <c r="BA111" s="1840"/>
      <c r="BB111" s="1840"/>
      <c r="BC111" s="1840"/>
      <c r="BD111" s="1840"/>
      <c r="BE111" s="1840"/>
      <c r="BF111" s="1840"/>
      <c r="BG111" s="1840"/>
      <c r="BH111" s="1840"/>
      <c r="BI111" s="1840"/>
      <c r="BJ111" s="1840"/>
      <c r="BK111" s="1840"/>
      <c r="BL111" s="1840"/>
      <c r="BM111" s="1840"/>
      <c r="BN111" s="1840"/>
      <c r="BO111" s="1840"/>
      <c r="BP111" s="1840"/>
      <c r="BQ111" s="1840"/>
      <c r="BR111" s="1840"/>
      <c r="BS111" s="1840"/>
      <c r="BT111" s="1840"/>
      <c r="BU111" s="1840"/>
      <c r="BV111" s="1840"/>
      <c r="BW111" s="1840"/>
      <c r="BX111" s="1840"/>
      <c r="BY111" s="1840"/>
      <c r="BZ111" s="1840"/>
      <c r="CA111" s="1840"/>
      <c r="CB111" s="1840"/>
      <c r="CC111" s="1840"/>
      <c r="CD111" s="1840"/>
      <c r="CE111" s="1840"/>
      <c r="CF111" s="1840"/>
      <c r="CG111" s="1840"/>
      <c r="CH111" s="1840"/>
      <c r="CI111" s="1840"/>
      <c r="CJ111" s="1840"/>
      <c r="CK111" s="1840"/>
      <c r="CL111" s="1840"/>
      <c r="CM111" s="1840"/>
      <c r="CN111" s="1840"/>
      <c r="CO111" s="1840"/>
      <c r="CP111" s="1840"/>
      <c r="CQ111" s="1840"/>
      <c r="CR111" s="1840"/>
      <c r="CS111" s="1840"/>
      <c r="CT111" s="1840"/>
      <c r="CU111" s="1840"/>
      <c r="CV111" s="1840"/>
      <c r="CW111" s="1840"/>
      <c r="CX111" s="1840"/>
      <c r="CY111" s="1840"/>
      <c r="CZ111" s="1840"/>
      <c r="DA111" s="1840"/>
      <c r="DB111" s="1840"/>
      <c r="DC111" s="1840"/>
      <c r="DD111" s="1840"/>
      <c r="DE111" s="1840"/>
      <c r="DF111" s="1840"/>
      <c r="DG111" s="1840"/>
      <c r="DH111" s="1840"/>
      <c r="DI111" s="1840"/>
      <c r="DJ111" s="1840"/>
      <c r="DK111" s="1840"/>
      <c r="DL111" s="1840"/>
      <c r="DM111" s="1840"/>
      <c r="DN111" s="1840"/>
      <c r="DO111" s="1840"/>
      <c r="DP111" s="1840"/>
      <c r="DQ111" s="1840"/>
      <c r="DR111" s="1840"/>
      <c r="DS111" s="1840"/>
      <c r="DT111" s="1840"/>
      <c r="DU111" s="1840"/>
      <c r="DV111" s="1840"/>
      <c r="DW111" s="1840"/>
      <c r="DX111" s="1840"/>
      <c r="DY111" s="1840"/>
      <c r="DZ111" s="1840"/>
      <c r="EA111" s="1840"/>
      <c r="EB111" s="1840"/>
      <c r="EC111" s="1840"/>
      <c r="ED111" s="1840"/>
      <c r="EE111" s="1840"/>
      <c r="EF111" s="1840"/>
      <c r="EG111" s="1840"/>
      <c r="EH111" s="1840"/>
      <c r="EI111" s="1840"/>
      <c r="EJ111" s="1840"/>
      <c r="EK111" s="1840"/>
      <c r="EL111" s="1840"/>
      <c r="EM111" s="1840"/>
      <c r="EN111" s="1840"/>
      <c r="EO111" s="1840"/>
      <c r="EP111" s="1840"/>
      <c r="EQ111" s="1840"/>
      <c r="ER111" s="1840"/>
      <c r="ES111" s="1840"/>
      <c r="ET111" s="1840"/>
      <c r="EU111" s="1840"/>
      <c r="EV111" s="1840"/>
      <c r="EW111" s="1840"/>
      <c r="EX111" s="1840"/>
      <c r="EY111" s="1840"/>
      <c r="EZ111" s="1840"/>
      <c r="FA111" s="1840"/>
      <c r="FB111" s="1840"/>
      <c r="FC111" s="1840"/>
      <c r="FD111" s="1840"/>
      <c r="FE111" s="1840"/>
      <c r="FF111" s="1840"/>
      <c r="FG111" s="1840"/>
      <c r="FH111" s="1840"/>
      <c r="FI111" s="1840"/>
      <c r="FJ111" s="1840"/>
      <c r="FK111" s="1840"/>
      <c r="FL111" s="1840"/>
      <c r="FM111" s="1840"/>
      <c r="FN111" s="1840"/>
      <c r="FO111" s="1840"/>
      <c r="FP111" s="1840"/>
      <c r="FQ111" s="1840"/>
      <c r="FR111" s="1840"/>
      <c r="FS111" s="1840"/>
      <c r="FT111" s="1840"/>
      <c r="FU111" s="1840"/>
      <c r="FV111" s="1840"/>
      <c r="FW111" s="1841"/>
      <c r="FX111" s="1842"/>
      <c r="FY111" s="1567"/>
      <c r="FZ111" s="1567"/>
      <c r="GA111" s="1567"/>
      <c r="GB111" s="1567"/>
    </row>
    <row r="113" s="37396" customFormat="1" customHeight="1" ht="11.25">
      <c r="A113" s="2441" t="s">
        <v>2114</v>
      </c>
    </row>
    <row r="115" s="34718" customFormat="1" customHeight="1" ht="15">
      <c r="A115" s="1249"/>
      <c r="B115" s="1250"/>
      <c r="C115" s="1250"/>
      <c r="D115" s="3204" t="s">
        <v>118</v>
      </c>
      <c r="E115" s="3003" t="s">
        <v>114</v>
      </c>
      <c r="F115" s="3004"/>
      <c r="G115" s="3005"/>
      <c r="H115" s="3009" t="str">
        <f>IF(A115="","",INDEX(DIFFERENTIATION_UNMERGE_VD,MATCH(A115,DIFFERENTIATION_ID_DIFF,0)))</f>
        <v/>
      </c>
      <c r="I115" s="3009"/>
      <c r="J115" s="3009"/>
      <c r="K115" s="3009"/>
      <c r="L115" s="3009"/>
      <c r="M115" s="3009"/>
      <c r="N115" s="3009"/>
      <c r="O115" s="3009"/>
      <c r="P115" s="3009"/>
      <c r="Q115" s="3009"/>
      <c r="R115" s="3009"/>
      <c r="S115" s="1345"/>
      <c r="T115" s="1342"/>
      <c r="U115" s="1251"/>
      <c r="V115" s="1251"/>
      <c r="W115" s="1252"/>
      <c r="X115" s="1252"/>
      <c r="Y115" s="1252"/>
      <c r="Z115" s="1252"/>
      <c r="AA115" s="1253"/>
      <c r="AB115" s="1254"/>
      <c r="AC115" s="3001"/>
      <c r="AD115" s="1255"/>
      <c r="AE115" s="1256" t="s">
        <v>22</v>
      </c>
      <c r="AF115" s="1256"/>
      <c r="AG115" s="1257" t="s">
        <v>627</v>
      </c>
      <c r="AH115" s="1258">
        <v>3</v>
      </c>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2"/>
      <c r="BW115" s="1252"/>
      <c r="BX115" s="1252"/>
      <c r="BY115" s="1252"/>
      <c r="BZ115" s="1252"/>
      <c r="CA115" s="1252"/>
      <c r="CB115" s="1252"/>
      <c r="CC115" s="1252"/>
      <c r="CD115" s="1252"/>
      <c r="CE115" s="1252"/>
    </row>
    <row s="34718" customFormat="1" customHeight="1" ht="15">
      <c r="A116" s="1249"/>
      <c r="B116" s="1250"/>
      <c r="C116" s="1250"/>
      <c r="D116" s="3205"/>
      <c r="E116" s="3003" t="s">
        <v>582</v>
      </c>
      <c r="F116" s="3004"/>
      <c r="G116" s="3005"/>
      <c r="H116" s="3009" t="str">
        <f>IF(A115="","",INDEX(DIFFERENTIATION_UNMERGE_AREA,MATCH(A115,DIFFERENTIATION_ID_DIFF,0)))</f>
        <v/>
      </c>
      <c r="I116" s="3009"/>
      <c r="J116" s="3009"/>
      <c r="K116" s="3009"/>
      <c r="L116" s="3009"/>
      <c r="M116" s="3009"/>
      <c r="N116" s="3009"/>
      <c r="O116" s="3009"/>
      <c r="P116" s="3009"/>
      <c r="Q116" s="3009"/>
      <c r="R116" s="3009"/>
      <c r="S116" s="1345"/>
      <c r="T116" s="1342"/>
      <c r="U116" s="1251"/>
      <c r="V116" s="1251"/>
      <c r="W116" s="1252"/>
      <c r="X116" s="1252"/>
      <c r="Y116" s="1252"/>
      <c r="Z116" s="1252"/>
      <c r="AA116" s="1253"/>
      <c r="AB116" s="1254"/>
      <c r="AC116" s="3001"/>
      <c r="AD116" s="1255"/>
      <c r="AE116" s="1256"/>
      <c r="AF116" s="1256"/>
      <c r="AG116" s="1257"/>
      <c r="AH116" s="1258"/>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2"/>
      <c r="BW116" s="1252"/>
      <c r="BX116" s="1252"/>
      <c r="BY116" s="1252"/>
      <c r="BZ116" s="1252"/>
      <c r="CA116" s="1252"/>
      <c r="CB116" s="1252"/>
      <c r="CC116" s="1252"/>
      <c r="CD116" s="1252"/>
      <c r="CE116" s="1252"/>
    </row>
    <row s="34718" customFormat="1" customHeight="1" ht="15">
      <c r="A117" s="1249"/>
      <c r="B117" s="1250"/>
      <c r="C117" s="1250"/>
      <c r="D117" s="3205"/>
      <c r="E117" s="3003" t="s">
        <v>583</v>
      </c>
      <c r="F117" s="3004"/>
      <c r="G117" s="3005"/>
      <c r="H117" s="3009" t="str">
        <f>IF(A115="","",INDEX(DIFFERENTIATION_UNMERGE_SYSTEM,MATCH(A115,DIFFERENTIATION_ID_DIFF,0)))</f>
        <v/>
      </c>
      <c r="I117" s="3009"/>
      <c r="J117" s="3009"/>
      <c r="K117" s="3009"/>
      <c r="L117" s="3009"/>
      <c r="M117" s="3009"/>
      <c r="N117" s="3009"/>
      <c r="O117" s="3009"/>
      <c r="P117" s="3009"/>
      <c r="Q117" s="3009"/>
      <c r="R117" s="3009"/>
      <c r="S117" s="1345"/>
      <c r="T117" s="1342"/>
      <c r="U117" s="1251"/>
      <c r="V117" s="1251"/>
      <c r="W117" s="1252"/>
      <c r="X117" s="1252"/>
      <c r="Y117" s="1252"/>
      <c r="Z117" s="1252"/>
      <c r="AA117" s="1253"/>
      <c r="AB117" s="1254"/>
      <c r="AC117" s="3001"/>
      <c r="AD117" s="1255"/>
      <c r="AE117" s="1256"/>
      <c r="AF117" s="1256"/>
      <c r="AG117" s="1257"/>
      <c r="AH117" s="1258"/>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2"/>
      <c r="BW117" s="1252"/>
      <c r="BX117" s="1252"/>
      <c r="BY117" s="1252"/>
      <c r="BZ117" s="1252"/>
      <c r="CA117" s="1252"/>
      <c r="CB117" s="1252"/>
      <c r="CC117" s="1252"/>
      <c r="CD117" s="1252"/>
      <c r="CE117" s="1252"/>
    </row>
    <row s="34718" customFormat="1" customHeight="1" ht="24.75">
      <c r="A118" s="2432"/>
      <c r="B118" s="1786"/>
      <c r="C118" s="1038"/>
      <c r="D118" s="3205"/>
      <c r="E118" s="3002" t="s">
        <v>628</v>
      </c>
      <c r="F118" s="3002"/>
      <c r="G118" s="3002"/>
      <c r="H118" s="3002"/>
      <c r="I118" s="3002"/>
      <c r="J118" s="3002"/>
      <c r="K118" s="3002"/>
      <c r="L118" s="3002"/>
      <c r="M118" s="3002"/>
      <c r="N118" s="3002"/>
      <c r="O118" s="3002"/>
      <c r="P118" s="3002"/>
      <c r="Q118" s="1184">
        <f>SUMIF(T119:T120,"i",Q119:Q120)</f>
        <v>0</v>
      </c>
      <c r="R118" s="1643"/>
      <c r="S118" s="2424" t="s">
        <v>629</v>
      </c>
      <c r="T118" s="1343" t="s">
        <v>630</v>
      </c>
      <c r="U118" s="3000">
        <v>1</v>
      </c>
      <c r="V118" s="3000" t="s">
        <v>593</v>
      </c>
      <c r="W118" s="1786"/>
      <c r="X118" s="1786"/>
      <c r="Y118" s="1786"/>
      <c r="Z118" s="1786"/>
      <c r="AA118" s="2262"/>
      <c r="AB118" s="1786"/>
      <c r="AC118" s="3001"/>
      <c r="AD118" s="1255"/>
      <c r="AE118" s="1786"/>
      <c r="AF118" s="1786"/>
      <c r="AG118" s="2262"/>
      <c r="AH118" s="2262"/>
      <c r="AI118" s="2262"/>
      <c r="AJ118" s="2262"/>
      <c r="AK118" s="2262"/>
      <c r="AL118" s="2262"/>
      <c r="AM118" s="2262"/>
      <c r="AN118" s="2262"/>
      <c r="AO118" s="2262"/>
      <c r="AP118" s="2262"/>
      <c r="AQ118" s="2262"/>
      <c r="AR118" s="2262"/>
      <c r="AS118" s="2262"/>
      <c r="AT118" s="2262"/>
      <c r="AU118" s="2262"/>
      <c r="AV118" s="2262"/>
      <c r="AW118" s="2262"/>
      <c r="AX118" s="2262"/>
      <c r="AY118" s="2262"/>
      <c r="AZ118" s="2262"/>
      <c r="BA118" s="2262"/>
      <c r="BB118" s="2262"/>
      <c r="BC118" s="2262"/>
      <c r="BD118" s="2262"/>
      <c r="BE118" s="2262"/>
      <c r="BF118" s="2262"/>
      <c r="BG118" s="2262"/>
      <c r="BH118" s="2262"/>
      <c r="BI118" s="2262"/>
      <c r="BJ118" s="2262"/>
      <c r="BK118" s="2262"/>
      <c r="BL118" s="2262"/>
      <c r="BM118" s="2262"/>
      <c r="BN118" s="2262"/>
      <c r="BO118" s="2262"/>
      <c r="BP118" s="2262"/>
      <c r="BQ118" s="2262"/>
      <c r="BR118" s="2262"/>
      <c r="BS118" s="2262"/>
      <c r="BT118" s="2262"/>
      <c r="BU118" s="2262"/>
      <c r="BV118" s="1786"/>
      <c r="BW118" s="1786"/>
      <c r="BX118" s="1786"/>
      <c r="BY118" s="1786"/>
      <c r="BZ118" s="1786"/>
      <c r="CA118" s="1786"/>
      <c r="CB118" s="1786"/>
      <c r="CC118" s="1786"/>
      <c r="CD118" s="1786"/>
      <c r="CE118" s="1786"/>
    </row>
    <row s="34718" customFormat="1" customHeight="1" ht="11.25" hidden="1">
      <c r="A119" s="2419"/>
      <c r="B119" s="2262"/>
      <c r="C119" s="2262"/>
      <c r="D119" s="3205"/>
      <c r="E119" s="1261"/>
      <c r="F119" s="1261">
        <v>0</v>
      </c>
      <c r="G119" s="1261"/>
      <c r="H119" s="1261"/>
      <c r="I119" s="1261"/>
      <c r="J119" s="1261"/>
      <c r="K119" s="1261"/>
      <c r="L119" s="1261"/>
      <c r="M119" s="1261"/>
      <c r="N119" s="1261"/>
      <c r="O119" s="1261"/>
      <c r="P119" s="1261"/>
      <c r="Q119" s="1261"/>
      <c r="R119" s="1261"/>
      <c r="S119" s="1262"/>
      <c r="T119" s="1344"/>
      <c r="U119" s="3000"/>
      <c r="V119" s="3000"/>
      <c r="W119" s="2262"/>
      <c r="X119" s="2262"/>
      <c r="Y119" s="2262"/>
      <c r="Z119" s="2262"/>
      <c r="AA119" s="2262"/>
      <c r="AB119" s="1786"/>
      <c r="AC119" s="3001"/>
      <c r="AD119" s="1255"/>
      <c r="AE119" s="1786"/>
      <c r="AF119" s="1786"/>
      <c r="AG119" s="2262"/>
      <c r="AH119" s="2262"/>
      <c r="AI119" s="2262"/>
      <c r="AJ119" s="2262"/>
      <c r="AK119" s="2262"/>
      <c r="AL119" s="2262"/>
      <c r="AM119" s="2262"/>
      <c r="AN119" s="2262"/>
      <c r="AO119" s="2262"/>
      <c r="AP119" s="2262"/>
      <c r="AQ119" s="2262"/>
      <c r="AR119" s="2262"/>
      <c r="AS119" s="2262"/>
      <c r="AT119" s="2262"/>
      <c r="AU119" s="2262"/>
      <c r="AV119" s="2262"/>
      <c r="AW119" s="2262"/>
      <c r="AX119" s="2262"/>
      <c r="AY119" s="2262"/>
      <c r="AZ119" s="2262"/>
      <c r="BA119" s="2262"/>
      <c r="BB119" s="2262"/>
      <c r="BC119" s="2262"/>
      <c r="BD119" s="2262"/>
      <c r="BE119" s="2262"/>
      <c r="BF119" s="2262"/>
      <c r="BG119" s="2262"/>
      <c r="BH119" s="2262"/>
      <c r="BI119" s="2262"/>
      <c r="BJ119" s="2262"/>
      <c r="BK119" s="2262"/>
      <c r="BL119" s="2262"/>
      <c r="BM119" s="2262"/>
      <c r="BN119" s="2262"/>
      <c r="BO119" s="2262"/>
      <c r="BP119" s="2262"/>
      <c r="BQ119" s="2262"/>
      <c r="BR119" s="2262"/>
      <c r="BS119" s="2262"/>
      <c r="BT119" s="2262"/>
      <c r="BU119" s="2262"/>
      <c r="BV119" s="2262"/>
      <c r="BW119" s="2262"/>
      <c r="BX119" s="2262"/>
      <c r="BY119" s="2262"/>
      <c r="BZ119" s="2262"/>
      <c r="CA119" s="2262"/>
      <c r="CB119" s="2262"/>
      <c r="CC119" s="2262"/>
      <c r="CD119" s="2262"/>
      <c r="CE119" s="2262"/>
    </row>
    <row s="34718" customFormat="1" customHeight="1" ht="11.25">
      <c r="A120" s="2432"/>
      <c r="B120" s="1786"/>
      <c r="C120" s="1038"/>
      <c r="D120" s="3205"/>
      <c r="E120" s="1275" t="s">
        <v>22</v>
      </c>
      <c r="F120" s="1794" t="s">
        <v>22</v>
      </c>
      <c r="G120" s="1794" t="s">
        <v>633</v>
      </c>
      <c r="H120" s="1277" t="s">
        <v>22</v>
      </c>
      <c r="I120" s="1277"/>
      <c r="J120" s="1277"/>
      <c r="K120" s="1277"/>
      <c r="L120" s="1277"/>
      <c r="M120" s="1277"/>
      <c r="N120" s="1277"/>
      <c r="O120" s="1277"/>
      <c r="P120" s="1277"/>
      <c r="Q120" s="1277"/>
      <c r="R120" s="1278"/>
      <c r="S120" s="1279"/>
      <c r="T120" s="1344"/>
      <c r="U120" s="3000"/>
      <c r="V120" s="3000"/>
      <c r="W120" s="1786"/>
      <c r="X120" s="1786"/>
      <c r="Y120" s="1786"/>
      <c r="Z120" s="1786"/>
      <c r="AA120" s="2262"/>
      <c r="AB120" s="1786"/>
      <c r="AC120" s="3001"/>
      <c r="AD120" s="1255"/>
      <c r="AE120" s="1786"/>
      <c r="AF120" s="1786"/>
      <c r="AG120" s="2262"/>
      <c r="AH120" s="2262"/>
      <c r="AI120" s="2262"/>
      <c r="AJ120" s="2262"/>
      <c r="AK120" s="2262"/>
      <c r="AL120" s="2262"/>
      <c r="AM120" s="2262"/>
      <c r="AN120" s="2262"/>
      <c r="AO120" s="2262"/>
      <c r="AP120" s="2262"/>
      <c r="AQ120" s="2262"/>
      <c r="AR120" s="2262"/>
      <c r="AS120" s="2262"/>
      <c r="AT120" s="2262"/>
      <c r="AU120" s="2262"/>
      <c r="AV120" s="2262"/>
      <c r="AW120" s="2262"/>
      <c r="AX120" s="2262"/>
      <c r="AY120" s="2262"/>
      <c r="AZ120" s="2262"/>
      <c r="BA120" s="2262"/>
      <c r="BB120" s="2262"/>
      <c r="BC120" s="2262"/>
      <c r="BD120" s="2262"/>
      <c r="BE120" s="2262"/>
      <c r="BF120" s="2262"/>
      <c r="BG120" s="2262"/>
      <c r="BH120" s="2262"/>
      <c r="BI120" s="2262"/>
      <c r="BJ120" s="2262"/>
      <c r="BK120" s="2262"/>
      <c r="BL120" s="2262"/>
      <c r="BM120" s="2262"/>
      <c r="BN120" s="2262"/>
      <c r="BO120" s="2262"/>
      <c r="BP120" s="2262"/>
      <c r="BQ120" s="2262"/>
      <c r="BR120" s="2262"/>
      <c r="BS120" s="2262"/>
      <c r="BT120" s="2262"/>
      <c r="BU120" s="2262"/>
      <c r="BV120" s="1786"/>
      <c r="BW120" s="1786"/>
      <c r="BX120" s="1786"/>
      <c r="BY120" s="1786"/>
      <c r="BZ120" s="1786"/>
      <c r="CA120" s="1786"/>
      <c r="CB120" s="1786"/>
      <c r="CC120" s="1786"/>
      <c r="CD120" s="1786"/>
      <c r="CE120" s="1786"/>
    </row>
    <row s="34718" customFormat="1" customHeight="1" ht="24.75">
      <c r="A121" s="2432"/>
      <c r="B121" s="1786"/>
      <c r="C121" s="1038"/>
      <c r="D121" s="3205"/>
      <c r="E121" s="3002" t="s">
        <v>631</v>
      </c>
      <c r="F121" s="3002"/>
      <c r="G121" s="3002"/>
      <c r="H121" s="3002"/>
      <c r="I121" s="3002"/>
      <c r="J121" s="3002"/>
      <c r="K121" s="3002"/>
      <c r="L121" s="3002"/>
      <c r="M121" s="3002"/>
      <c r="N121" s="3002"/>
      <c r="O121" s="3002"/>
      <c r="P121" s="3002"/>
      <c r="Q121" s="1184">
        <f>SUMIF(T122:T123,"i",Q122:Q123)</f>
        <v>0</v>
      </c>
      <c r="R121" s="1643"/>
      <c r="S121" s="2424" t="s">
        <v>632</v>
      </c>
      <c r="T121" s="1343" t="s">
        <v>630</v>
      </c>
      <c r="U121" s="3000">
        <v>1</v>
      </c>
      <c r="V121" s="3000" t="s">
        <v>593</v>
      </c>
      <c r="W121" s="1786"/>
      <c r="X121" s="1786"/>
      <c r="Y121" s="1786"/>
      <c r="Z121" s="1786"/>
      <c r="AA121" s="2262"/>
      <c r="AB121" s="1786"/>
      <c r="AC121" s="2422"/>
      <c r="AD121" s="1255"/>
      <c r="AE121" s="1786"/>
      <c r="AF121" s="1786"/>
      <c r="AG121" s="2262"/>
      <c r="AH121" s="2262"/>
      <c r="AI121" s="2262"/>
      <c r="AJ121" s="2262"/>
      <c r="AK121" s="2262"/>
      <c r="AL121" s="2262"/>
      <c r="AM121" s="2262"/>
      <c r="AN121" s="2262"/>
      <c r="AO121" s="2262"/>
      <c r="AP121" s="2262"/>
      <c r="AQ121" s="2262"/>
      <c r="AR121" s="2262"/>
      <c r="AS121" s="2262"/>
      <c r="AT121" s="2262"/>
      <c r="AU121" s="2262"/>
      <c r="AV121" s="2262"/>
      <c r="AW121" s="2262"/>
      <c r="AX121" s="2262"/>
      <c r="AY121" s="2262"/>
      <c r="AZ121" s="2262"/>
      <c r="BA121" s="2262"/>
      <c r="BB121" s="2262"/>
      <c r="BC121" s="2262"/>
      <c r="BD121" s="2262"/>
      <c r="BE121" s="2262"/>
      <c r="BF121" s="2262"/>
      <c r="BG121" s="2262"/>
      <c r="BH121" s="2262"/>
      <c r="BI121" s="2262"/>
      <c r="BJ121" s="2262"/>
      <c r="BK121" s="2262"/>
      <c r="BL121" s="2262"/>
      <c r="BM121" s="2262"/>
      <c r="BN121" s="2262"/>
      <c r="BO121" s="2262"/>
      <c r="BP121" s="2262"/>
      <c r="BQ121" s="2262"/>
      <c r="BR121" s="2262"/>
      <c r="BS121" s="2262"/>
      <c r="BT121" s="2262"/>
      <c r="BU121" s="2262"/>
      <c r="BV121" s="1786"/>
      <c r="BW121" s="1786"/>
      <c r="BX121" s="1786"/>
      <c r="BY121" s="1786"/>
      <c r="BZ121" s="1786"/>
      <c r="CA121" s="1786"/>
      <c r="CB121" s="1786"/>
      <c r="CC121" s="1786"/>
      <c r="CD121" s="1786"/>
      <c r="CE121" s="1786"/>
    </row>
    <row s="34718" customFormat="1" customHeight="1" ht="11.25" hidden="1">
      <c r="A122" s="2419"/>
      <c r="B122" s="2262"/>
      <c r="C122" s="2262"/>
      <c r="D122" s="3205"/>
      <c r="E122" s="1261"/>
      <c r="F122" s="1261">
        <v>0</v>
      </c>
      <c r="G122" s="1261"/>
      <c r="H122" s="1261"/>
      <c r="I122" s="1261"/>
      <c r="J122" s="1261"/>
      <c r="K122" s="1261"/>
      <c r="L122" s="1261"/>
      <c r="M122" s="1261"/>
      <c r="N122" s="1261"/>
      <c r="O122" s="1261"/>
      <c r="P122" s="1261"/>
      <c r="Q122" s="1261"/>
      <c r="R122" s="1261"/>
      <c r="S122" s="1262"/>
      <c r="T122" s="1344"/>
      <c r="U122" s="3000"/>
      <c r="V122" s="3000"/>
      <c r="W122" s="2262"/>
      <c r="X122" s="2262"/>
      <c r="Y122" s="2262"/>
      <c r="Z122" s="2262"/>
      <c r="AA122" s="2262"/>
      <c r="AB122" s="1786"/>
      <c r="AC122" s="2422"/>
      <c r="AD122" s="1255"/>
      <c r="AE122" s="1786"/>
      <c r="AF122" s="1786"/>
      <c r="AG122" s="2262"/>
      <c r="AH122" s="2262"/>
      <c r="AI122" s="2262"/>
      <c r="AJ122" s="2262"/>
      <c r="AK122" s="2262"/>
      <c r="AL122" s="2262"/>
      <c r="AM122" s="2262"/>
      <c r="AN122" s="2262"/>
      <c r="AO122" s="2262"/>
      <c r="AP122" s="2262"/>
      <c r="AQ122" s="2262"/>
      <c r="AR122" s="2262"/>
      <c r="AS122" s="2262"/>
      <c r="AT122" s="2262"/>
      <c r="AU122" s="2262"/>
      <c r="AV122" s="2262"/>
      <c r="AW122" s="2262"/>
      <c r="AX122" s="2262"/>
      <c r="AY122" s="2262"/>
      <c r="AZ122" s="2262"/>
      <c r="BA122" s="2262"/>
      <c r="BB122" s="2262"/>
      <c r="BC122" s="2262"/>
      <c r="BD122" s="2262"/>
      <c r="BE122" s="2262"/>
      <c r="BF122" s="2262"/>
      <c r="BG122" s="2262"/>
      <c r="BH122" s="2262"/>
      <c r="BI122" s="2262"/>
      <c r="BJ122" s="2262"/>
      <c r="BK122" s="2262"/>
      <c r="BL122" s="2262"/>
      <c r="BM122" s="2262"/>
      <c r="BN122" s="2262"/>
      <c r="BO122" s="2262"/>
      <c r="BP122" s="2262"/>
      <c r="BQ122" s="2262"/>
      <c r="BR122" s="2262"/>
      <c r="BS122" s="2262"/>
      <c r="BT122" s="2262"/>
      <c r="BU122" s="2262"/>
      <c r="BV122" s="2262"/>
      <c r="BW122" s="2262"/>
      <c r="BX122" s="2262"/>
      <c r="BY122" s="2262"/>
      <c r="BZ122" s="2262"/>
      <c r="CA122" s="2262"/>
      <c r="CB122" s="2262"/>
      <c r="CC122" s="2262"/>
      <c r="CD122" s="2262"/>
      <c r="CE122" s="2262"/>
    </row>
    <row s="34718" customFormat="1" customHeight="1" ht="11.25">
      <c r="A123" s="2432"/>
      <c r="B123" s="1786"/>
      <c r="C123" s="1038"/>
      <c r="D123" s="3206"/>
      <c r="E123" s="1275" t="s">
        <v>22</v>
      </c>
      <c r="F123" s="1794" t="s">
        <v>22</v>
      </c>
      <c r="G123" s="1794" t="s">
        <v>633</v>
      </c>
      <c r="H123" s="1277" t="s">
        <v>22</v>
      </c>
      <c r="I123" s="1277"/>
      <c r="J123" s="1277"/>
      <c r="K123" s="1277"/>
      <c r="L123" s="1277"/>
      <c r="M123" s="1277"/>
      <c r="N123" s="1277"/>
      <c r="O123" s="1277"/>
      <c r="P123" s="1277"/>
      <c r="Q123" s="1277"/>
      <c r="R123" s="1278"/>
      <c r="S123" s="1279"/>
      <c r="T123" s="1344"/>
      <c r="U123" s="3000"/>
      <c r="V123" s="3000"/>
      <c r="W123" s="1786"/>
      <c r="X123" s="1786"/>
      <c r="Y123" s="1786"/>
      <c r="Z123" s="1786"/>
      <c r="AA123" s="2262"/>
      <c r="AB123" s="1786"/>
      <c r="AC123" s="2422"/>
      <c r="AD123" s="1255"/>
      <c r="AE123" s="1786"/>
      <c r="AF123" s="1786"/>
      <c r="AG123" s="2262"/>
      <c r="AH123" s="2262"/>
      <c r="AI123" s="2262"/>
      <c r="AJ123" s="2262"/>
      <c r="AK123" s="2262"/>
      <c r="AL123" s="2262"/>
      <c r="AM123" s="2262"/>
      <c r="AN123" s="2262"/>
      <c r="AO123" s="2262"/>
      <c r="AP123" s="2262"/>
      <c r="AQ123" s="2262"/>
      <c r="AR123" s="2262"/>
      <c r="AS123" s="2262"/>
      <c r="AT123" s="2262"/>
      <c r="AU123" s="2262"/>
      <c r="AV123" s="2262"/>
      <c r="AW123" s="2262"/>
      <c r="AX123" s="2262"/>
      <c r="AY123" s="2262"/>
      <c r="AZ123" s="2262"/>
      <c r="BA123" s="2262"/>
      <c r="BB123" s="2262"/>
      <c r="BC123" s="2262"/>
      <c r="BD123" s="2262"/>
      <c r="BE123" s="2262"/>
      <c r="BF123" s="2262"/>
      <c r="BG123" s="2262"/>
      <c r="BH123" s="2262"/>
      <c r="BI123" s="2262"/>
      <c r="BJ123" s="2262"/>
      <c r="BK123" s="2262"/>
      <c r="BL123" s="2262"/>
      <c r="BM123" s="2262"/>
      <c r="BN123" s="2262"/>
      <c r="BO123" s="2262"/>
      <c r="BP123" s="2262"/>
      <c r="BQ123" s="2262"/>
      <c r="BR123" s="2262"/>
      <c r="BS123" s="2262"/>
      <c r="BT123" s="2262"/>
      <c r="BU123" s="2262"/>
      <c r="BV123" s="1786"/>
      <c r="BW123" s="1786"/>
      <c r="BX123" s="1786"/>
      <c r="BY123" s="1786"/>
      <c r="BZ123" s="1786"/>
      <c r="CA123" s="1786"/>
      <c r="CB123" s="1786"/>
      <c r="CC123" s="1786"/>
      <c r="CD123" s="1786"/>
      <c r="CE123" s="1786"/>
    </row>
    <row r="125" s="37396" customFormat="1" customHeight="1" ht="11.25">
      <c r="A125" s="2441" t="s">
        <v>2115</v>
      </c>
    </row>
    <row r="127" s="34718" customFormat="1" customHeight="1" ht="15" hidden="1">
      <c r="A127" s="1249"/>
      <c r="B127" s="1250"/>
      <c r="C127" s="1250"/>
      <c r="D127" s="3204" t="s">
        <v>118</v>
      </c>
      <c r="E127" s="3003" t="s">
        <v>114</v>
      </c>
      <c r="F127" s="3004"/>
      <c r="G127" s="3005"/>
      <c r="H127" s="3009" t="str">
        <f>IF(A127="","",INDEX(DIFFERENTIATION_UNMERGE_VD,MATCH(A127,DIFFERENTIATION_ID_DIFF,0)))</f>
        <v/>
      </c>
      <c r="I127" s="3009"/>
      <c r="J127" s="3009"/>
      <c r="K127" s="3009"/>
      <c r="L127" s="3009"/>
      <c r="M127" s="3009"/>
      <c r="N127" s="3009"/>
      <c r="O127" s="3009"/>
      <c r="P127" s="3009"/>
      <c r="Q127" s="3009"/>
      <c r="R127" s="3009"/>
      <c r="S127" s="1345"/>
      <c r="T127" s="1342"/>
      <c r="U127" s="1251"/>
      <c r="V127" s="1251"/>
      <c r="W127" s="1252"/>
      <c r="X127" s="1252"/>
      <c r="Y127" s="1252"/>
      <c r="Z127" s="1252"/>
      <c r="AA127" s="1253"/>
      <c r="AB127" s="1254"/>
      <c r="AC127" s="3001"/>
      <c r="AD127" s="1255"/>
      <c r="AE127" s="1256" t="s">
        <v>22</v>
      </c>
      <c r="AF127" s="1256"/>
      <c r="AG127" s="1257" t="s">
        <v>627</v>
      </c>
      <c r="AH127" s="1258">
        <v>3</v>
      </c>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2"/>
      <c r="BW127" s="1252"/>
      <c r="BX127" s="1252"/>
      <c r="BY127" s="1252"/>
      <c r="BZ127" s="1252"/>
      <c r="CA127" s="1252"/>
      <c r="CB127" s="1252"/>
      <c r="CC127" s="1252"/>
      <c r="CD127" s="1252"/>
      <c r="CE127" s="1252"/>
    </row>
    <row s="34718" customFormat="1" customHeight="1" ht="15" hidden="1">
      <c r="A128" s="1249"/>
      <c r="B128" s="1250"/>
      <c r="C128" s="1250"/>
      <c r="D128" s="3205"/>
      <c r="E128" s="3003" t="s">
        <v>582</v>
      </c>
      <c r="F128" s="3004"/>
      <c r="G128" s="3005"/>
      <c r="H128" s="3009" t="str">
        <f>IF(A127="","",INDEX(DIFFERENTIATION_UNMERGE_AREA,MATCH(A127,DIFFERENTIATION_ID_DIFF,0)))</f>
        <v/>
      </c>
      <c r="I128" s="3009"/>
      <c r="J128" s="3009"/>
      <c r="K128" s="3009"/>
      <c r="L128" s="3009"/>
      <c r="M128" s="3009"/>
      <c r="N128" s="3009"/>
      <c r="O128" s="3009"/>
      <c r="P128" s="3009"/>
      <c r="Q128" s="3009"/>
      <c r="R128" s="3009"/>
      <c r="S128" s="1345"/>
      <c r="T128" s="1342"/>
      <c r="U128" s="1251"/>
      <c r="V128" s="1251"/>
      <c r="W128" s="1252"/>
      <c r="X128" s="1252"/>
      <c r="Y128" s="1252"/>
      <c r="Z128" s="1252"/>
      <c r="AA128" s="1253"/>
      <c r="AB128" s="1254"/>
      <c r="AC128" s="3001"/>
      <c r="AD128" s="1255"/>
      <c r="AE128" s="1256"/>
      <c r="AF128" s="1256"/>
      <c r="AG128" s="1257"/>
      <c r="AH128" s="1258"/>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2"/>
      <c r="BW128" s="1252"/>
      <c r="BX128" s="1252"/>
      <c r="BY128" s="1252"/>
      <c r="BZ128" s="1252"/>
      <c r="CA128" s="1252"/>
      <c r="CB128" s="1252"/>
      <c r="CC128" s="1252"/>
      <c r="CD128" s="1252"/>
      <c r="CE128" s="1252"/>
    </row>
    <row s="34718" customFormat="1" customHeight="1" ht="15" hidden="1">
      <c r="A129" s="1249"/>
      <c r="B129" s="1250"/>
      <c r="C129" s="1250"/>
      <c r="D129" s="3205"/>
      <c r="E129" s="3003" t="s">
        <v>583</v>
      </c>
      <c r="F129" s="3004"/>
      <c r="G129" s="3005"/>
      <c r="H129" s="3009" t="str">
        <f>IF(A127="","",INDEX(DIFFERENTIATION_UNMERGE_SYSTEM,MATCH(A127,DIFFERENTIATION_ID_DIFF,0)))</f>
        <v/>
      </c>
      <c r="I129" s="3009"/>
      <c r="J129" s="3009"/>
      <c r="K129" s="3009"/>
      <c r="L129" s="3009"/>
      <c r="M129" s="3009"/>
      <c r="N129" s="3009"/>
      <c r="O129" s="3009"/>
      <c r="P129" s="3009"/>
      <c r="Q129" s="3009"/>
      <c r="R129" s="3009"/>
      <c r="S129" s="1345"/>
      <c r="T129" s="1342"/>
      <c r="U129" s="1251"/>
      <c r="V129" s="1251"/>
      <c r="W129" s="1252"/>
      <c r="X129" s="1252"/>
      <c r="Y129" s="1252"/>
      <c r="Z129" s="1252"/>
      <c r="AA129" s="1253"/>
      <c r="AB129" s="1254"/>
      <c r="AC129" s="3001"/>
      <c r="AD129" s="1255"/>
      <c r="AE129" s="1256"/>
      <c r="AF129" s="1256"/>
      <c r="AG129" s="1257"/>
      <c r="AH129" s="1258"/>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2"/>
      <c r="BW129" s="1252"/>
      <c r="BX129" s="1252"/>
      <c r="BY129" s="1252"/>
      <c r="BZ129" s="1252"/>
      <c r="CA129" s="1252"/>
      <c r="CB129" s="1252"/>
      <c r="CC129" s="1252"/>
      <c r="CD129" s="1252"/>
      <c r="CE129" s="1252"/>
    </row>
    <row s="34718" customFormat="1" customHeight="1" ht="24.75" hidden="1">
      <c r="A130" s="2432"/>
      <c r="B130" s="1786"/>
      <c r="C130" s="1038"/>
      <c r="D130" s="3205"/>
      <c r="E130" s="3002" t="s">
        <v>628</v>
      </c>
      <c r="F130" s="3002"/>
      <c r="G130" s="3002"/>
      <c r="H130" s="3002"/>
      <c r="I130" s="3002"/>
      <c r="J130" s="3002"/>
      <c r="K130" s="3002"/>
      <c r="L130" s="3002"/>
      <c r="M130" s="3002"/>
      <c r="N130" s="3002"/>
      <c r="O130" s="3002"/>
      <c r="P130" s="3002"/>
      <c r="Q130" s="1184">
        <f>SUMIF(T131:T132,"i",Q131:Q132)</f>
        <v>0</v>
      </c>
      <c r="R130" s="1643"/>
      <c r="S130" s="2424" t="s">
        <v>629</v>
      </c>
      <c r="T130" s="1343" t="s">
        <v>630</v>
      </c>
      <c r="U130" s="3000">
        <v>1</v>
      </c>
      <c r="V130" s="3000" t="s">
        <v>593</v>
      </c>
      <c r="W130" s="1786"/>
      <c r="X130" s="1786"/>
      <c r="Y130" s="1786"/>
      <c r="Z130" s="1786"/>
      <c r="AA130" s="2262"/>
      <c r="AB130" s="1786"/>
      <c r="AC130" s="3001"/>
      <c r="AD130" s="1255"/>
      <c r="AE130" s="1786"/>
      <c r="AF130" s="1786"/>
      <c r="AG130" s="2262"/>
      <c r="AH130" s="2262"/>
      <c r="AI130" s="2262"/>
      <c r="AJ130" s="2262"/>
      <c r="AK130" s="2262"/>
      <c r="AL130" s="2262"/>
      <c r="AM130" s="2262"/>
      <c r="AN130" s="2262"/>
      <c r="AO130" s="2262"/>
      <c r="AP130" s="2262"/>
      <c r="AQ130" s="2262"/>
      <c r="AR130" s="2262"/>
      <c r="AS130" s="2262"/>
      <c r="AT130" s="2262"/>
      <c r="AU130" s="2262"/>
      <c r="AV130" s="2262"/>
      <c r="AW130" s="2262"/>
      <c r="AX130" s="2262"/>
      <c r="AY130" s="2262"/>
      <c r="AZ130" s="2262"/>
      <c r="BA130" s="2262"/>
      <c r="BB130" s="2262"/>
      <c r="BC130" s="2262"/>
      <c r="BD130" s="2262"/>
      <c r="BE130" s="2262"/>
      <c r="BF130" s="2262"/>
      <c r="BG130" s="2262"/>
      <c r="BH130" s="2262"/>
      <c r="BI130" s="2262"/>
      <c r="BJ130" s="2262"/>
      <c r="BK130" s="2262"/>
      <c r="BL130" s="2262"/>
      <c r="BM130" s="2262"/>
      <c r="BN130" s="2262"/>
      <c r="BO130" s="2262"/>
      <c r="BP130" s="2262"/>
      <c r="BQ130" s="2262"/>
      <c r="BR130" s="2262"/>
      <c r="BS130" s="2262"/>
      <c r="BT130" s="2262"/>
      <c r="BU130" s="2262"/>
      <c r="BV130" s="1786"/>
      <c r="BW130" s="1786"/>
      <c r="BX130" s="1786"/>
      <c r="BY130" s="1786"/>
      <c r="BZ130" s="1786"/>
      <c r="CA130" s="1786"/>
      <c r="CB130" s="1786"/>
      <c r="CC130" s="1786"/>
      <c r="CD130" s="1786"/>
      <c r="CE130" s="1786"/>
    </row>
    <row s="34718" customFormat="1" customHeight="1" ht="11.25" hidden="1">
      <c r="A131" s="2419"/>
      <c r="B131" s="2262"/>
      <c r="C131" s="2262"/>
      <c r="D131" s="3205"/>
      <c r="E131" s="1261"/>
      <c r="F131" s="1261">
        <v>0</v>
      </c>
      <c r="G131" s="1261"/>
      <c r="H131" s="1261"/>
      <c r="I131" s="1261"/>
      <c r="J131" s="1261"/>
      <c r="K131" s="1261"/>
      <c r="L131" s="1261"/>
      <c r="M131" s="1261"/>
      <c r="N131" s="1261"/>
      <c r="O131" s="1261"/>
      <c r="P131" s="1261"/>
      <c r="Q131" s="1261"/>
      <c r="R131" s="1261"/>
      <c r="S131" s="1262"/>
      <c r="T131" s="1344"/>
      <c r="U131" s="3000"/>
      <c r="V131" s="3000"/>
      <c r="W131" s="2262"/>
      <c r="X131" s="2262"/>
      <c r="Y131" s="2262"/>
      <c r="Z131" s="2262"/>
      <c r="AA131" s="2262"/>
      <c r="AB131" s="1786"/>
      <c r="AC131" s="3001"/>
      <c r="AD131" s="1255"/>
      <c r="AE131" s="1786"/>
      <c r="AF131" s="1786"/>
      <c r="AG131" s="2262"/>
      <c r="AH131" s="2262"/>
      <c r="AI131" s="2262"/>
      <c r="AJ131" s="2262"/>
      <c r="AK131" s="2262"/>
      <c r="AL131" s="2262"/>
      <c r="AM131" s="2262"/>
      <c r="AN131" s="2262"/>
      <c r="AO131" s="2262"/>
      <c r="AP131" s="2262"/>
      <c r="AQ131" s="2262"/>
      <c r="AR131" s="2262"/>
      <c r="AS131" s="2262"/>
      <c r="AT131" s="2262"/>
      <c r="AU131" s="2262"/>
      <c r="AV131" s="2262"/>
      <c r="AW131" s="2262"/>
      <c r="AX131" s="2262"/>
      <c r="AY131" s="2262"/>
      <c r="AZ131" s="2262"/>
      <c r="BA131" s="2262"/>
      <c r="BB131" s="2262"/>
      <c r="BC131" s="2262"/>
      <c r="BD131" s="2262"/>
      <c r="BE131" s="2262"/>
      <c r="BF131" s="2262"/>
      <c r="BG131" s="2262"/>
      <c r="BH131" s="2262"/>
      <c r="BI131" s="2262"/>
      <c r="BJ131" s="2262"/>
      <c r="BK131" s="2262"/>
      <c r="BL131" s="2262"/>
      <c r="BM131" s="2262"/>
      <c r="BN131" s="2262"/>
      <c r="BO131" s="2262"/>
      <c r="BP131" s="2262"/>
      <c r="BQ131" s="2262"/>
      <c r="BR131" s="2262"/>
      <c r="BS131" s="2262"/>
      <c r="BT131" s="2262"/>
      <c r="BU131" s="2262"/>
      <c r="BV131" s="2262"/>
      <c r="BW131" s="2262"/>
      <c r="BX131" s="2262"/>
      <c r="BY131" s="2262"/>
      <c r="BZ131" s="2262"/>
      <c r="CA131" s="2262"/>
      <c r="CB131" s="2262"/>
      <c r="CC131" s="2262"/>
      <c r="CD131" s="2262"/>
      <c r="CE131" s="2262"/>
    </row>
    <row s="34718" customFormat="1" customHeight="1" ht="11.25" hidden="1">
      <c r="A132" s="2432"/>
      <c r="B132" s="1786"/>
      <c r="C132" s="1038"/>
      <c r="D132" s="3205"/>
      <c r="E132" s="1275" t="s">
        <v>22</v>
      </c>
      <c r="F132" s="1794" t="s">
        <v>22</v>
      </c>
      <c r="G132" s="1794" t="s">
        <v>633</v>
      </c>
      <c r="H132" s="1277" t="s">
        <v>22</v>
      </c>
      <c r="I132" s="1277"/>
      <c r="J132" s="1277"/>
      <c r="K132" s="1277"/>
      <c r="L132" s="1277"/>
      <c r="M132" s="1277"/>
      <c r="N132" s="1277"/>
      <c r="O132" s="1277"/>
      <c r="P132" s="1277"/>
      <c r="Q132" s="1277"/>
      <c r="R132" s="1278"/>
      <c r="S132" s="1279"/>
      <c r="T132" s="1344"/>
      <c r="U132" s="3000"/>
      <c r="V132" s="3000"/>
      <c r="W132" s="1786"/>
      <c r="X132" s="1786"/>
      <c r="Y132" s="1786"/>
      <c r="Z132" s="1786"/>
      <c r="AA132" s="2262"/>
      <c r="AB132" s="1786"/>
      <c r="AC132" s="3001"/>
      <c r="AD132" s="1255"/>
      <c r="AE132" s="1786"/>
      <c r="AF132" s="1786"/>
      <c r="AG132" s="2262"/>
      <c r="AH132" s="2262"/>
      <c r="AI132" s="2262"/>
      <c r="AJ132" s="2262"/>
      <c r="AK132" s="2262"/>
      <c r="AL132" s="2262"/>
      <c r="AM132" s="2262"/>
      <c r="AN132" s="2262"/>
      <c r="AO132" s="2262"/>
      <c r="AP132" s="2262"/>
      <c r="AQ132" s="2262"/>
      <c r="AR132" s="2262"/>
      <c r="AS132" s="2262"/>
      <c r="AT132" s="2262"/>
      <c r="AU132" s="2262"/>
      <c r="AV132" s="2262"/>
      <c r="AW132" s="2262"/>
      <c r="AX132" s="2262"/>
      <c r="AY132" s="2262"/>
      <c r="AZ132" s="2262"/>
      <c r="BA132" s="2262"/>
      <c r="BB132" s="2262"/>
      <c r="BC132" s="2262"/>
      <c r="BD132" s="2262"/>
      <c r="BE132" s="2262"/>
      <c r="BF132" s="2262"/>
      <c r="BG132" s="2262"/>
      <c r="BH132" s="2262"/>
      <c r="BI132" s="2262"/>
      <c r="BJ132" s="2262"/>
      <c r="BK132" s="2262"/>
      <c r="BL132" s="2262"/>
      <c r="BM132" s="2262"/>
      <c r="BN132" s="2262"/>
      <c r="BO132" s="2262"/>
      <c r="BP132" s="2262"/>
      <c r="BQ132" s="2262"/>
      <c r="BR132" s="2262"/>
      <c r="BS132" s="2262"/>
      <c r="BT132" s="2262"/>
      <c r="BU132" s="2262"/>
      <c r="BV132" s="1786"/>
      <c r="BW132" s="1786"/>
      <c r="BX132" s="1786"/>
      <c r="BY132" s="1786"/>
      <c r="BZ132" s="1786"/>
      <c r="CA132" s="1786"/>
      <c r="CB132" s="1786"/>
      <c r="CC132" s="1786"/>
      <c r="CD132" s="1786"/>
      <c r="CE132" s="1786"/>
    </row>
    <row s="34987" customFormat="1" customHeight="1" ht="5.25" hidden="1">
      <c r="A133" s="2419"/>
      <c r="B133" s="2262"/>
      <c r="C133" s="2262"/>
      <c r="D133" s="3205"/>
      <c r="E133" s="1665"/>
      <c r="F133" s="1665"/>
      <c r="G133" s="1665"/>
      <c r="H133" s="1665"/>
      <c r="I133" s="1665"/>
      <c r="J133" s="1665"/>
      <c r="K133" s="1665"/>
      <c r="L133" s="1665"/>
      <c r="M133" s="1665"/>
      <c r="N133" s="1665"/>
      <c r="O133" s="1665"/>
      <c r="P133" s="1665"/>
      <c r="Q133" s="1666"/>
      <c r="R133" s="1667"/>
      <c r="S133" s="1668"/>
      <c r="T133" s="1343" t="s">
        <v>630</v>
      </c>
      <c r="U133" s="3000">
        <v>1</v>
      </c>
      <c r="V133" s="3000" t="s">
        <v>593</v>
      </c>
      <c r="W133" s="2262"/>
      <c r="X133" s="2262"/>
      <c r="Y133" s="2262"/>
      <c r="Z133" s="2262"/>
      <c r="AA133" s="2262"/>
      <c r="AB133" s="2262"/>
      <c r="AC133" s="1663"/>
      <c r="AD133" s="1664"/>
      <c r="AE133" s="2262"/>
      <c r="AF133" s="2262"/>
      <c r="AG133" s="2262"/>
      <c r="AH133" s="2262"/>
      <c r="AI133" s="2262"/>
      <c r="AJ133" s="2262"/>
      <c r="AK133" s="2262"/>
      <c r="AL133" s="2262"/>
      <c r="AM133" s="2262"/>
      <c r="AN133" s="2262"/>
      <c r="AO133" s="2262"/>
      <c r="AP133" s="2262"/>
      <c r="AQ133" s="2262"/>
      <c r="AR133" s="2262"/>
      <c r="AS133" s="2262"/>
      <c r="AT133" s="2262"/>
      <c r="AU133" s="2262"/>
      <c r="AV133" s="2262"/>
      <c r="AW133" s="2262"/>
      <c r="AX133" s="2262"/>
      <c r="AY133" s="2262"/>
      <c r="AZ133" s="2262"/>
      <c r="BA133" s="2262"/>
      <c r="BB133" s="2262"/>
      <c r="BC133" s="2262"/>
      <c r="BD133" s="2262"/>
      <c r="BE133" s="2262"/>
      <c r="BF133" s="2262"/>
      <c r="BG133" s="2262"/>
      <c r="BH133" s="2262"/>
      <c r="BI133" s="2262"/>
      <c r="BJ133" s="2262"/>
      <c r="BK133" s="2262"/>
      <c r="BL133" s="2262"/>
      <c r="BM133" s="2262"/>
      <c r="BN133" s="2262"/>
      <c r="BO133" s="2262"/>
      <c r="BP133" s="2262"/>
      <c r="BQ133" s="2262"/>
      <c r="BR133" s="2262"/>
      <c r="BS133" s="2262"/>
      <c r="BT133" s="2262"/>
      <c r="BU133" s="2262"/>
      <c r="BV133" s="2262"/>
      <c r="BW133" s="2262"/>
      <c r="BX133" s="2262"/>
      <c r="BY133" s="2262"/>
      <c r="BZ133" s="2262"/>
      <c r="CA133" s="2262"/>
      <c r="CB133" s="2262"/>
      <c r="CC133" s="2262"/>
      <c r="CD133" s="2262"/>
      <c r="CE133" s="2262"/>
    </row>
    <row s="34987" customFormat="1" customHeight="1" ht="5.25" hidden="1">
      <c r="A134" s="2419"/>
      <c r="B134" s="2262"/>
      <c r="C134" s="2262"/>
      <c r="D134" s="3205"/>
      <c r="E134" s="1261"/>
      <c r="F134" s="1261"/>
      <c r="G134" s="1261"/>
      <c r="H134" s="1261"/>
      <c r="I134" s="1261"/>
      <c r="J134" s="1261"/>
      <c r="K134" s="1261"/>
      <c r="L134" s="1261"/>
      <c r="M134" s="1261"/>
      <c r="N134" s="1261"/>
      <c r="O134" s="1261"/>
      <c r="P134" s="1261"/>
      <c r="Q134" s="1261"/>
      <c r="R134" s="1261"/>
      <c r="S134" s="1262"/>
      <c r="T134" s="1344"/>
      <c r="U134" s="3000"/>
      <c r="V134" s="3000"/>
      <c r="W134" s="2262"/>
      <c r="X134" s="2262"/>
      <c r="Y134" s="2262"/>
      <c r="Z134" s="2262"/>
      <c r="AA134" s="2262"/>
      <c r="AB134" s="2262"/>
      <c r="AC134" s="1663"/>
      <c r="AD134" s="1664"/>
      <c r="AE134" s="2262"/>
      <c r="AF134" s="2262"/>
      <c r="AG134" s="2262"/>
      <c r="AH134" s="2262"/>
      <c r="AI134" s="2262"/>
      <c r="AJ134" s="2262"/>
      <c r="AK134" s="2262"/>
      <c r="AL134" s="2262"/>
      <c r="AM134" s="2262"/>
      <c r="AN134" s="2262"/>
      <c r="AO134" s="2262"/>
      <c r="AP134" s="2262"/>
      <c r="AQ134" s="2262"/>
      <c r="AR134" s="2262"/>
      <c r="AS134" s="2262"/>
      <c r="AT134" s="2262"/>
      <c r="AU134" s="2262"/>
      <c r="AV134" s="2262"/>
      <c r="AW134" s="2262"/>
      <c r="AX134" s="2262"/>
      <c r="AY134" s="2262"/>
      <c r="AZ134" s="2262"/>
      <c r="BA134" s="2262"/>
      <c r="BB134" s="2262"/>
      <c r="BC134" s="2262"/>
      <c r="BD134" s="2262"/>
      <c r="BE134" s="2262"/>
      <c r="BF134" s="2262"/>
      <c r="BG134" s="2262"/>
      <c r="BH134" s="2262"/>
      <c r="BI134" s="2262"/>
      <c r="BJ134" s="2262"/>
      <c r="BK134" s="2262"/>
      <c r="BL134" s="2262"/>
      <c r="BM134" s="2262"/>
      <c r="BN134" s="2262"/>
      <c r="BO134" s="2262"/>
      <c r="BP134" s="2262"/>
      <c r="BQ134" s="2262"/>
      <c r="BR134" s="2262"/>
      <c r="BS134" s="2262"/>
      <c r="BT134" s="2262"/>
      <c r="BU134" s="2262"/>
      <c r="BV134" s="2262"/>
      <c r="BW134" s="2262"/>
      <c r="BX134" s="2262"/>
      <c r="BY134" s="2262"/>
      <c r="BZ134" s="2262"/>
      <c r="CA134" s="2262"/>
      <c r="CB134" s="2262"/>
      <c r="CC134" s="2262"/>
      <c r="CD134" s="2262"/>
      <c r="CE134" s="2262"/>
    </row>
    <row s="34987" customFormat="1" customHeight="1" ht="5.25" hidden="1">
      <c r="A135" s="2419"/>
      <c r="B135" s="2262"/>
      <c r="C135" s="2262"/>
      <c r="D135" s="3206"/>
      <c r="E135" s="1669"/>
      <c r="F135" s="1670"/>
      <c r="G135" s="1670"/>
      <c r="H135" s="1671"/>
      <c r="I135" s="1671"/>
      <c r="J135" s="1671"/>
      <c r="K135" s="1671"/>
      <c r="L135" s="1671"/>
      <c r="M135" s="1671"/>
      <c r="N135" s="1671"/>
      <c r="O135" s="1671"/>
      <c r="P135" s="1671"/>
      <c r="Q135" s="1671"/>
      <c r="R135" s="1572"/>
      <c r="S135" s="1672"/>
      <c r="T135" s="1344"/>
      <c r="U135" s="3000"/>
      <c r="V135" s="3000"/>
      <c r="W135" s="2262"/>
      <c r="X135" s="2262"/>
      <c r="Y135" s="2262"/>
      <c r="Z135" s="2262"/>
      <c r="AA135" s="2262"/>
      <c r="AB135" s="2262"/>
      <c r="AC135" s="1663"/>
      <c r="AD135" s="1664"/>
      <c r="AE135" s="2262"/>
      <c r="AF135" s="2262"/>
      <c r="AG135" s="2262"/>
      <c r="AH135" s="2262"/>
      <c r="AI135" s="2262"/>
      <c r="AJ135" s="2262"/>
      <c r="AK135" s="2262"/>
      <c r="AL135" s="2262"/>
      <c r="AM135" s="2262"/>
      <c r="AN135" s="2262"/>
      <c r="AO135" s="2262"/>
      <c r="AP135" s="2262"/>
      <c r="AQ135" s="2262"/>
      <c r="AR135" s="2262"/>
      <c r="AS135" s="2262"/>
      <c r="AT135" s="2262"/>
      <c r="AU135" s="2262"/>
      <c r="AV135" s="2262"/>
      <c r="AW135" s="2262"/>
      <c r="AX135" s="2262"/>
      <c r="AY135" s="2262"/>
      <c r="AZ135" s="2262"/>
      <c r="BA135" s="2262"/>
      <c r="BB135" s="2262"/>
      <c r="BC135" s="2262"/>
      <c r="BD135" s="2262"/>
      <c r="BE135" s="2262"/>
      <c r="BF135" s="2262"/>
      <c r="BG135" s="2262"/>
      <c r="BH135" s="2262"/>
      <c r="BI135" s="2262"/>
      <c r="BJ135" s="2262"/>
      <c r="BK135" s="2262"/>
      <c r="BL135" s="2262"/>
      <c r="BM135" s="2262"/>
      <c r="BN135" s="2262"/>
      <c r="BO135" s="2262"/>
      <c r="BP135" s="2262"/>
      <c r="BQ135" s="2262"/>
      <c r="BR135" s="2262"/>
      <c r="BS135" s="2262"/>
      <c r="BT135" s="2262"/>
      <c r="BU135" s="2262"/>
      <c r="BV135" s="2262"/>
      <c r="BW135" s="2262"/>
      <c r="BX135" s="2262"/>
      <c r="BY135" s="2262"/>
      <c r="BZ135" s="2262"/>
      <c r="CA135" s="2262"/>
      <c r="CB135" s="2262"/>
      <c r="CC135" s="2262"/>
      <c r="CD135" s="2262"/>
      <c r="CE135" s="2262"/>
    </row>
    <row customHeight="1" ht="17.25">
      <c r="D136" s="2462"/>
    </row>
    <row s="37396" customFormat="1" customHeight="1" ht="11.25">
      <c r="A137" s="2441" t="s">
        <v>2116</v>
      </c>
    </row>
    <row r="139" s="34718" customFormat="1" customHeight="1" ht="45">
      <c r="A139" s="2432"/>
      <c r="B139" s="1786"/>
      <c r="C139" s="1038"/>
      <c r="D139" s="715"/>
      <c r="E139" s="3198"/>
      <c r="F139" s="2734" t="s">
        <v>118</v>
      </c>
      <c r="G139" s="3201" t="s">
        <v>22</v>
      </c>
      <c r="H139" s="915"/>
      <c r="I139" s="1263" t="s">
        <v>118</v>
      </c>
      <c r="J139" s="2433" t="s">
        <v>2117</v>
      </c>
      <c r="K139" s="1264" t="s">
        <v>564</v>
      </c>
      <c r="L139" s="2850" t="s">
        <v>564</v>
      </c>
      <c r="M139" s="3203"/>
      <c r="N139" s="1264" t="s">
        <v>564</v>
      </c>
      <c r="O139" s="1264" t="s">
        <v>564</v>
      </c>
      <c r="P139" s="1264" t="s">
        <v>564</v>
      </c>
      <c r="Q139" s="1265">
        <f>SUM(Q140:Q142)</f>
        <v>0</v>
      </c>
      <c r="R139" s="1265">
        <f>IF(R136=0,0,(Q136/R136)*100)</f>
        <v>0</v>
      </c>
      <c r="S139" s="2805"/>
      <c r="T139" s="1343" t="s">
        <v>630</v>
      </c>
      <c r="U139" s="715"/>
      <c r="V139" s="715"/>
      <c r="AC139" s="715"/>
    </row>
    <row s="34718" customFormat="1" customHeight="1" ht="11.25">
      <c r="A140" s="2432"/>
      <c r="B140" s="1786"/>
      <c r="C140" s="1038"/>
      <c r="D140" s="715"/>
      <c r="E140" s="3199"/>
      <c r="F140" s="2734"/>
      <c r="G140" s="3201"/>
      <c r="H140" s="2753"/>
      <c r="I140" s="3141" t="s">
        <v>1203</v>
      </c>
      <c r="J140" s="3195"/>
      <c r="K140" s="3196"/>
      <c r="L140" s="1266"/>
      <c r="M140" s="1267" t="s">
        <v>118</v>
      </c>
      <c r="N140" s="2421"/>
      <c r="O140" s="1268"/>
      <c r="P140" s="1269"/>
      <c r="Q140" s="1268"/>
      <c r="R140" s="1270">
        <v>0</v>
      </c>
      <c r="S140" s="2805"/>
      <c r="T140" s="1343"/>
      <c r="U140" s="715"/>
      <c r="V140" s="715"/>
      <c r="AC140" s="715"/>
    </row>
    <row s="34718" customFormat="1" customHeight="1" ht="11.25">
      <c r="A141" s="2432"/>
      <c r="B141" s="1786"/>
      <c r="C141" s="1038"/>
      <c r="D141" s="715"/>
      <c r="E141" s="3199"/>
      <c r="F141" s="2734"/>
      <c r="G141" s="3201"/>
      <c r="H141" s="2753"/>
      <c r="I141" s="3141"/>
      <c r="J141" s="3195"/>
      <c r="K141" s="3197"/>
      <c r="L141" s="1271"/>
      <c r="M141" s="1272"/>
      <c r="N141" s="1273" t="s">
        <v>2118</v>
      </c>
      <c r="O141" s="1273"/>
      <c r="P141" s="1273"/>
      <c r="Q141" s="1273"/>
      <c r="R141" s="1274"/>
      <c r="S141" s="2805"/>
      <c r="T141" s="1343"/>
      <c r="U141" s="715"/>
      <c r="V141" s="715"/>
      <c r="AC141" s="715"/>
    </row>
    <row s="34718" customFormat="1" customHeight="1" ht="11.25">
      <c r="A142" s="2432"/>
      <c r="B142" s="1786"/>
      <c r="C142" s="1038"/>
      <c r="D142" s="715"/>
      <c r="E142" s="3200"/>
      <c r="F142" s="2734"/>
      <c r="G142" s="3202"/>
      <c r="H142" s="1271" t="s">
        <v>22</v>
      </c>
      <c r="I142" s="1272"/>
      <c r="J142" s="1273" t="s">
        <v>2119</v>
      </c>
      <c r="K142" s="1273"/>
      <c r="L142" s="1273"/>
      <c r="M142" s="1273"/>
      <c r="N142" s="1273"/>
      <c r="O142" s="1273"/>
      <c r="P142" s="1273"/>
      <c r="Q142" s="1273"/>
      <c r="R142" s="1274"/>
      <c r="S142" s="2805"/>
      <c r="T142" s="1343"/>
      <c r="U142" s="715"/>
      <c r="V142" s="715"/>
      <c r="AC142" s="715"/>
    </row>
    <row r="147" s="34718" customFormat="1" customHeight="1" ht="11.25">
      <c r="A147" s="2432"/>
      <c r="B147" s="1786"/>
      <c r="C147" s="1038"/>
      <c r="D147" s="715"/>
      <c r="E147" s="2456"/>
      <c r="F147" s="2456"/>
      <c r="G147" s="2456"/>
      <c r="H147" s="2753"/>
      <c r="I147" s="3141" t="s">
        <v>1203</v>
      </c>
      <c r="J147" s="3195"/>
      <c r="K147" s="3196"/>
      <c r="L147" s="1266"/>
      <c r="M147" s="1267" t="s">
        <v>118</v>
      </c>
      <c r="N147" s="2421"/>
      <c r="O147" s="1268"/>
      <c r="P147" s="1269"/>
      <c r="Q147" s="1268"/>
      <c r="R147" s="1270">
        <v>0</v>
      </c>
      <c r="S147" s="715"/>
      <c r="T147" s="1343"/>
      <c r="U147" s="715"/>
      <c r="V147" s="715"/>
      <c r="AC147" s="715"/>
    </row>
    <row s="34718" customFormat="1" customHeight="1" ht="11.25">
      <c r="A148" s="2432"/>
      <c r="B148" s="1786"/>
      <c r="C148" s="1038"/>
      <c r="D148" s="715"/>
      <c r="E148" s="2456"/>
      <c r="F148" s="2456"/>
      <c r="G148" s="2456"/>
      <c r="H148" s="2753"/>
      <c r="I148" s="3141"/>
      <c r="J148" s="3195"/>
      <c r="K148" s="3197"/>
      <c r="L148" s="1271"/>
      <c r="M148" s="1272"/>
      <c r="N148" s="1273" t="s">
        <v>2118</v>
      </c>
      <c r="O148" s="1273"/>
      <c r="P148" s="1273"/>
      <c r="Q148" s="1273"/>
      <c r="R148" s="1274"/>
      <c r="S148" s="715"/>
      <c r="T148" s="1343"/>
      <c r="U148" s="715"/>
      <c r="V148" s="715"/>
      <c r="AC148" s="715"/>
    </row>
    <row r="150" s="34718" customFormat="1" customHeight="1" ht="11.25">
      <c r="A150" s="2432"/>
      <c r="B150" s="1786"/>
      <c r="C150" s="1038"/>
      <c r="D150" s="715"/>
      <c r="E150" s="2463"/>
      <c r="F150" s="2461"/>
      <c r="G150" s="2461"/>
      <c r="H150" s="2464"/>
      <c r="I150" s="2456"/>
      <c r="J150" s="2457"/>
      <c r="K150" s="2457"/>
      <c r="L150" s="1266"/>
      <c r="M150" s="1267" t="s">
        <v>118</v>
      </c>
      <c r="N150" s="2421"/>
      <c r="O150" s="1268"/>
      <c r="P150" s="1269"/>
      <c r="Q150" s="1268"/>
      <c r="R150" s="1270">
        <v>0</v>
      </c>
      <c r="S150" s="715"/>
      <c r="T150" s="1343"/>
      <c r="U150" s="715"/>
      <c r="V150" s="715"/>
      <c r="AC150" s="715"/>
    </row>
    <row r="152" s="37396" customFormat="1" customHeight="1" ht="17.25">
      <c r="A152" s="2441" t="s">
        <v>2120</v>
      </c>
    </row>
    <row customHeight="1" ht="17.25">
      <c r="G153" s="2465"/>
      <c r="H153" s="2465"/>
      <c r="I153" s="2465"/>
      <c r="M153" s="2461"/>
    </row>
    <row s="34794" customFormat="1" customHeight="1" ht="17.25">
      <c r="A154" s="2466"/>
      <c r="C154" s="2468"/>
      <c r="D154" s="3155"/>
      <c r="E154" s="2769"/>
      <c r="F154" s="2771"/>
      <c r="G154" s="3157"/>
      <c r="H154" s="3155"/>
      <c r="I154" s="3155">
        <v>1</v>
      </c>
      <c r="J154" s="3127"/>
      <c r="K154" s="2811" t="s">
        <v>66</v>
      </c>
      <c r="L154" s="2734"/>
      <c r="M154" s="2734" t="s">
        <v>118</v>
      </c>
      <c r="N154" s="3130" t="str">
        <f>IF(Z154="","",INDEX(TERRITORY_MR_LIST,MATCH(Z154,TERRITORY_LIST_ID,0)))</f>
        <v/>
      </c>
      <c r="O154" s="2811" t="s">
        <v>66</v>
      </c>
      <c r="P154" s="2734"/>
      <c r="Q154" s="2734" t="s">
        <v>118</v>
      </c>
      <c r="R154" s="3128" t="s">
        <v>22</v>
      </c>
      <c r="S154" s="2733" t="s">
        <v>66</v>
      </c>
      <c r="T154" s="2437"/>
      <c r="U154" s="2437" t="s">
        <v>118</v>
      </c>
      <c r="V154" s="2469" t="s">
        <v>22</v>
      </c>
      <c r="W154" s="2427"/>
      <c r="Y154" s="1893"/>
      <c r="Z154" s="1893"/>
      <c r="AA154" s="1893"/>
      <c r="AB154" s="1893"/>
      <c r="AC154" s="1893"/>
      <c r="AD154" s="1893"/>
      <c r="AE154" s="1893"/>
      <c r="AF154" s="1893"/>
      <c r="AG154" s="1893"/>
      <c r="AH154" s="1893"/>
      <c r="AI154" s="1893"/>
      <c r="AJ154" s="1893"/>
      <c r="AK154" s="1893"/>
      <c r="AL154" s="2470"/>
      <c r="AM154" s="2470"/>
      <c r="AN154" s="1893"/>
      <c r="AO154" s="1893"/>
      <c r="AP154" s="1893"/>
      <c r="AQ154" s="1893"/>
    </row>
    <row s="34794" customFormat="1" customHeight="1" ht="17.25">
      <c r="A155" s="2466"/>
      <c r="C155" s="2471"/>
      <c r="D155" s="3155"/>
      <c r="E155" s="2769"/>
      <c r="F155" s="2772"/>
      <c r="G155" s="3157"/>
      <c r="H155" s="3155"/>
      <c r="I155" s="3155"/>
      <c r="J155" s="3127"/>
      <c r="K155" s="2812"/>
      <c r="L155" s="2734"/>
      <c r="M155" s="2734"/>
      <c r="N155" s="3130"/>
      <c r="O155" s="2812"/>
      <c r="P155" s="2734"/>
      <c r="Q155" s="2734"/>
      <c r="R155" s="3128"/>
      <c r="S155" s="2733"/>
      <c r="T155" s="943"/>
      <c r="U155" s="944"/>
      <c r="V155" s="944" t="s">
        <v>432</v>
      </c>
      <c r="W155" s="945"/>
      <c r="Y155" s="1885"/>
      <c r="Z155" s="1885"/>
      <c r="AA155" s="1885"/>
      <c r="AB155" s="1885"/>
      <c r="AC155" s="1885"/>
      <c r="AD155" s="1885"/>
      <c r="AE155" s="1885"/>
      <c r="AF155" s="1885"/>
      <c r="AG155" s="1885"/>
      <c r="AH155" s="1885"/>
      <c r="AI155" s="1885"/>
      <c r="AJ155" s="1885"/>
      <c r="AK155" s="1885"/>
    </row>
    <row s="34794" customFormat="1" customHeight="1" ht="17.25">
      <c r="A156" s="2466"/>
      <c r="C156" s="2471"/>
      <c r="D156" s="3129"/>
      <c r="E156" s="3156"/>
      <c r="F156" s="2772"/>
      <c r="G156" s="3158"/>
      <c r="H156" s="3129"/>
      <c r="I156" s="3129"/>
      <c r="J156" s="3159"/>
      <c r="K156" s="2812"/>
      <c r="L156" s="3129"/>
      <c r="M156" s="3129"/>
      <c r="N156" s="3131"/>
      <c r="O156" s="2738"/>
      <c r="P156" s="943"/>
      <c r="Q156" s="944"/>
      <c r="R156" s="944" t="s">
        <v>433</v>
      </c>
      <c r="S156" s="2472"/>
      <c r="T156" s="2472"/>
      <c r="U156" s="2472"/>
      <c r="V156" s="2472"/>
      <c r="W156" s="945"/>
      <c r="Y156" s="1885"/>
      <c r="Z156" s="1885"/>
      <c r="AA156" s="1885"/>
      <c r="AB156" s="1885"/>
      <c r="AC156" s="1885"/>
      <c r="AD156" s="1885"/>
      <c r="AE156" s="1885"/>
      <c r="AF156" s="1885"/>
      <c r="AG156" s="1885"/>
      <c r="AH156" s="1885"/>
      <c r="AI156" s="1885"/>
      <c r="AJ156" s="1885"/>
      <c r="AK156" s="1885"/>
    </row>
    <row s="34794" customFormat="1" customHeight="1" ht="17.25">
      <c r="A157" s="2466"/>
      <c r="C157" s="2471"/>
      <c r="D157" s="3129"/>
      <c r="E157" s="3156"/>
      <c r="F157" s="2772"/>
      <c r="G157" s="3158"/>
      <c r="H157" s="3129"/>
      <c r="I157" s="3129"/>
      <c r="J157" s="3159"/>
      <c r="K157" s="2738"/>
      <c r="L157" s="943"/>
      <c r="M157" s="944"/>
      <c r="N157" s="944" t="s">
        <v>434</v>
      </c>
      <c r="O157" s="944"/>
      <c r="P157" s="944"/>
      <c r="Q157" s="944"/>
      <c r="R157" s="944"/>
      <c r="S157" s="2472"/>
      <c r="T157" s="2472"/>
      <c r="U157" s="2472"/>
      <c r="V157" s="2472"/>
      <c r="W157" s="945"/>
      <c r="Y157" s="1885"/>
      <c r="Z157" s="1885"/>
      <c r="AA157" s="1885"/>
      <c r="AB157" s="1885"/>
      <c r="AC157" s="1885"/>
      <c r="AD157" s="1885"/>
      <c r="AE157" s="1885"/>
      <c r="AF157" s="1885"/>
      <c r="AG157" s="1885"/>
      <c r="AH157" s="1885"/>
      <c r="AI157" s="1885"/>
      <c r="AJ157" s="1885"/>
      <c r="AK157" s="1885"/>
    </row>
    <row s="34794" customFormat="1" customHeight="1" ht="17.25">
      <c r="A158" s="2466"/>
      <c r="C158" s="2471"/>
      <c r="D158" s="3129"/>
      <c r="E158" s="3156"/>
      <c r="F158" s="2773"/>
      <c r="G158" s="3158"/>
      <c r="H158" s="943"/>
      <c r="I158" s="944"/>
      <c r="J158" s="944" t="s">
        <v>466</v>
      </c>
      <c r="K158" s="944"/>
      <c r="L158" s="944"/>
      <c r="M158" s="944"/>
      <c r="N158" s="944"/>
      <c r="O158" s="944"/>
      <c r="P158" s="944"/>
      <c r="Q158" s="944"/>
      <c r="R158" s="944"/>
      <c r="S158" s="2472"/>
      <c r="T158" s="2472"/>
      <c r="U158" s="2472"/>
      <c r="V158" s="2472"/>
      <c r="W158" s="945"/>
      <c r="Y158" s="1885"/>
      <c r="Z158" s="1885"/>
      <c r="AA158" s="1885"/>
      <c r="AB158" s="1885"/>
      <c r="AC158" s="1885"/>
      <c r="AD158" s="1885"/>
      <c r="AE158" s="1885"/>
      <c r="AF158" s="1885"/>
      <c r="AG158" s="1885"/>
      <c r="AH158" s="1885"/>
      <c r="AI158" s="1885"/>
      <c r="AJ158" s="1885"/>
      <c r="AK158" s="1885"/>
    </row>
    <row customHeight="1" ht="17.25">
      <c r="G159" s="2465"/>
      <c r="H159" s="2465"/>
      <c r="I159" s="2465"/>
      <c r="M159" s="2461"/>
    </row>
    <row s="34794" customFormat="1" customHeight="1" ht="17.25">
      <c r="A160" s="2466"/>
      <c r="C160" s="2468"/>
      <c r="D160" s="2456"/>
      <c r="E160" s="2473"/>
      <c r="F160" s="2410"/>
      <c r="G160" s="2474"/>
      <c r="H160" s="3155"/>
      <c r="I160" s="3155">
        <v>1</v>
      </c>
      <c r="J160" s="3127"/>
      <c r="K160" s="2811" t="s">
        <v>66</v>
      </c>
      <c r="L160" s="2734"/>
      <c r="M160" s="2734" t="s">
        <v>118</v>
      </c>
      <c r="N160" s="3130" t="str">
        <f>IF(Z160="","",INDEX(TERRITORY_MR_LIST,MATCH(Z160,TERRITORY_LIST_ID,0)))</f>
        <v/>
      </c>
      <c r="O160" s="2811" t="s">
        <v>66</v>
      </c>
      <c r="P160" s="2734"/>
      <c r="Q160" s="2734" t="s">
        <v>118</v>
      </c>
      <c r="R160" s="3128" t="s">
        <v>22</v>
      </c>
      <c r="S160" s="2733" t="s">
        <v>66</v>
      </c>
      <c r="T160" s="2437"/>
      <c r="U160" s="2437" t="s">
        <v>118</v>
      </c>
      <c r="V160" s="2469" t="s">
        <v>22</v>
      </c>
      <c r="W160" s="2427"/>
      <c r="Y160" s="1893"/>
      <c r="Z160" s="1893"/>
      <c r="AA160" s="1893"/>
      <c r="AB160" s="1893"/>
      <c r="AC160" s="1893"/>
      <c r="AD160" s="1893"/>
      <c r="AE160" s="1893"/>
      <c r="AF160" s="1893"/>
      <c r="AG160" s="1893"/>
      <c r="AH160" s="1893"/>
      <c r="AI160" s="1893"/>
      <c r="AJ160" s="1893"/>
      <c r="AK160" s="1893"/>
      <c r="AL160" s="2470"/>
      <c r="AM160" s="2470"/>
      <c r="AN160" s="1893"/>
      <c r="AO160" s="1893"/>
      <c r="AP160" s="1893"/>
      <c r="AQ160" s="1893"/>
    </row>
    <row s="34794" customFormat="1" customHeight="1" ht="17.25">
      <c r="A161" s="2466"/>
      <c r="C161" s="2471"/>
      <c r="D161" s="2456"/>
      <c r="E161" s="2473"/>
      <c r="F161" s="2410"/>
      <c r="G161" s="2474"/>
      <c r="H161" s="3155"/>
      <c r="I161" s="3155"/>
      <c r="J161" s="3127"/>
      <c r="K161" s="2812"/>
      <c r="L161" s="2734"/>
      <c r="M161" s="2734"/>
      <c r="N161" s="3130"/>
      <c r="O161" s="2812"/>
      <c r="P161" s="2734"/>
      <c r="Q161" s="2734"/>
      <c r="R161" s="3128"/>
      <c r="S161" s="2733"/>
      <c r="T161" s="943"/>
      <c r="U161" s="944"/>
      <c r="V161" s="944" t="s">
        <v>432</v>
      </c>
      <c r="W161" s="945"/>
      <c r="Y161" s="1885"/>
      <c r="Z161" s="1885"/>
      <c r="AA161" s="1885"/>
      <c r="AB161" s="1885"/>
      <c r="AC161" s="1885"/>
      <c r="AD161" s="1885"/>
      <c r="AE161" s="1885"/>
      <c r="AF161" s="1885"/>
      <c r="AG161" s="1885"/>
      <c r="AH161" s="1885"/>
      <c r="AI161" s="1885"/>
      <c r="AJ161" s="1885"/>
      <c r="AK161" s="1885"/>
    </row>
    <row s="34794" customFormat="1" customHeight="1" ht="17.25">
      <c r="A162" s="2466"/>
      <c r="C162" s="2471"/>
      <c r="D162" s="2456"/>
      <c r="E162" s="2473"/>
      <c r="F162" s="2410"/>
      <c r="G162" s="2474"/>
      <c r="H162" s="3129"/>
      <c r="I162" s="3129"/>
      <c r="J162" s="3159"/>
      <c r="K162" s="2812"/>
      <c r="L162" s="3129"/>
      <c r="M162" s="3129"/>
      <c r="N162" s="3131"/>
      <c r="O162" s="2738"/>
      <c r="P162" s="943"/>
      <c r="Q162" s="944"/>
      <c r="R162" s="944" t="s">
        <v>433</v>
      </c>
      <c r="S162" s="2472"/>
      <c r="T162" s="2472"/>
      <c r="U162" s="2472"/>
      <c r="V162" s="2472"/>
      <c r="W162" s="945"/>
      <c r="Y162" s="1885"/>
      <c r="Z162" s="1885"/>
      <c r="AA162" s="1885"/>
      <c r="AB162" s="1885"/>
      <c r="AC162" s="1885"/>
      <c r="AD162" s="1885"/>
      <c r="AE162" s="1885"/>
      <c r="AF162" s="1885"/>
      <c r="AG162" s="1885"/>
      <c r="AH162" s="1885"/>
      <c r="AI162" s="1885"/>
      <c r="AJ162" s="1885"/>
      <c r="AK162" s="1885"/>
    </row>
    <row s="34794" customFormat="1" customHeight="1" ht="17.25">
      <c r="A163" s="2466"/>
      <c r="C163" s="2471"/>
      <c r="D163" s="2456"/>
      <c r="E163" s="2473"/>
      <c r="F163" s="2410"/>
      <c r="G163" s="2474"/>
      <c r="H163" s="3129"/>
      <c r="I163" s="3129"/>
      <c r="J163" s="3159"/>
      <c r="K163" s="2738"/>
      <c r="L163" s="943"/>
      <c r="M163" s="944"/>
      <c r="N163" s="944" t="s">
        <v>434</v>
      </c>
      <c r="O163" s="944"/>
      <c r="P163" s="944"/>
      <c r="Q163" s="944"/>
      <c r="R163" s="944"/>
      <c r="S163" s="2472"/>
      <c r="T163" s="2472"/>
      <c r="U163" s="2472"/>
      <c r="V163" s="2472"/>
      <c r="W163" s="945"/>
      <c r="Y163" s="1885"/>
      <c r="Z163" s="1885"/>
      <c r="AA163" s="1885"/>
      <c r="AB163" s="1885"/>
      <c r="AC163" s="1885"/>
      <c r="AD163" s="1885"/>
      <c r="AE163" s="1885"/>
      <c r="AF163" s="1885"/>
      <c r="AG163" s="1885"/>
      <c r="AH163" s="1885"/>
      <c r="AI163" s="1885"/>
      <c r="AJ163" s="1885"/>
      <c r="AK163" s="1885"/>
    </row>
    <row customHeight="1" ht="17.25">
      <c r="G164" s="2465"/>
      <c r="H164" s="2465"/>
      <c r="I164" s="2465"/>
      <c r="M164" s="2461"/>
    </row>
    <row s="34794" customFormat="1" customHeight="1" ht="17.25">
      <c r="A165" s="2466"/>
      <c r="C165" s="2468"/>
      <c r="D165" s="2456"/>
      <c r="E165" s="2473"/>
      <c r="F165" s="2410"/>
      <c r="G165" s="2474"/>
      <c r="H165" s="2456"/>
      <c r="I165" s="2456"/>
      <c r="J165" s="2475"/>
      <c r="K165" s="2386"/>
      <c r="L165" s="2734"/>
      <c r="M165" s="2734" t="s">
        <v>118</v>
      </c>
      <c r="N165" s="3130" t="str">
        <f>IF(Z165="","",INDEX(TERRITORY_MR_LIST,MATCH(Z165,TERRITORY_LIST_ID,0)))</f>
        <v/>
      </c>
      <c r="O165" s="2811" t="s">
        <v>66</v>
      </c>
      <c r="P165" s="2734"/>
      <c r="Q165" s="2734" t="s">
        <v>118</v>
      </c>
      <c r="R165" s="3128" t="s">
        <v>22</v>
      </c>
      <c r="S165" s="2733" t="s">
        <v>66</v>
      </c>
      <c r="T165" s="2437"/>
      <c r="U165" s="2437" t="s">
        <v>118</v>
      </c>
      <c r="V165" s="2469" t="s">
        <v>22</v>
      </c>
      <c r="W165" s="2427"/>
      <c r="Y165" s="1893"/>
      <c r="Z165" s="1893"/>
      <c r="AA165" s="1893"/>
      <c r="AB165" s="1893"/>
      <c r="AC165" s="1893"/>
      <c r="AD165" s="1893"/>
      <c r="AE165" s="1893"/>
      <c r="AF165" s="1893"/>
      <c r="AG165" s="1893"/>
      <c r="AH165" s="1893"/>
      <c r="AI165" s="1893"/>
      <c r="AJ165" s="1893"/>
      <c r="AK165" s="1893"/>
      <c r="AL165" s="2470"/>
      <c r="AM165" s="2470"/>
      <c r="AN165" s="1893"/>
      <c r="AO165" s="1893"/>
      <c r="AP165" s="1893"/>
      <c r="AQ165" s="1893"/>
    </row>
    <row s="34794" customFormat="1" customHeight="1" ht="17.25">
      <c r="A166" s="2466"/>
      <c r="C166" s="2471"/>
      <c r="D166" s="2456"/>
      <c r="E166" s="2473"/>
      <c r="F166" s="2410"/>
      <c r="G166" s="2474"/>
      <c r="H166" s="2456"/>
      <c r="I166" s="2456"/>
      <c r="J166" s="2475"/>
      <c r="K166" s="2386"/>
      <c r="L166" s="2734"/>
      <c r="M166" s="2734"/>
      <c r="N166" s="3130"/>
      <c r="O166" s="2812"/>
      <c r="P166" s="2734"/>
      <c r="Q166" s="2734"/>
      <c r="R166" s="3128"/>
      <c r="S166" s="2733"/>
      <c r="T166" s="943"/>
      <c r="U166" s="944"/>
      <c r="V166" s="944" t="s">
        <v>432</v>
      </c>
      <c r="W166" s="945"/>
      <c r="Y166" s="1885"/>
      <c r="Z166" s="1885"/>
      <c r="AA166" s="1885"/>
      <c r="AB166" s="1885"/>
      <c r="AC166" s="1885"/>
      <c r="AD166" s="1885"/>
      <c r="AE166" s="1885"/>
      <c r="AF166" s="1885"/>
      <c r="AG166" s="1885"/>
      <c r="AH166" s="1885"/>
      <c r="AI166" s="1885"/>
      <c r="AJ166" s="1885"/>
      <c r="AK166" s="1885"/>
    </row>
    <row s="34794" customFormat="1" customHeight="1" ht="17.25">
      <c r="A167" s="2466"/>
      <c r="C167" s="2471"/>
      <c r="D167" s="2456"/>
      <c r="E167" s="2473"/>
      <c r="F167" s="2410"/>
      <c r="G167" s="2474"/>
      <c r="H167" s="2456"/>
      <c r="I167" s="2456"/>
      <c r="J167" s="2475"/>
      <c r="K167" s="2386"/>
      <c r="L167" s="3129"/>
      <c r="M167" s="3129"/>
      <c r="N167" s="3131"/>
      <c r="O167" s="2738"/>
      <c r="P167" s="943"/>
      <c r="Q167" s="944"/>
      <c r="R167" s="944" t="s">
        <v>433</v>
      </c>
      <c r="S167" s="2472"/>
      <c r="T167" s="2472"/>
      <c r="U167" s="2472"/>
      <c r="V167" s="2472"/>
      <c r="W167" s="945"/>
      <c r="Y167" s="1885"/>
      <c r="Z167" s="1885"/>
      <c r="AA167" s="1885"/>
      <c r="AB167" s="1885"/>
      <c r="AC167" s="1885"/>
      <c r="AD167" s="1885"/>
      <c r="AE167" s="1885"/>
      <c r="AF167" s="1885"/>
      <c r="AG167" s="1885"/>
      <c r="AH167" s="1885"/>
      <c r="AI167" s="1885"/>
      <c r="AJ167" s="1885"/>
      <c r="AK167" s="1885"/>
    </row>
    <row customHeight="1" ht="17.25">
      <c r="G168" s="2465"/>
      <c r="H168" s="2465"/>
      <c r="I168" s="2465"/>
      <c r="M168" s="2461"/>
    </row>
    <row s="34794" customFormat="1" customHeight="1" ht="17.25">
      <c r="A169" s="2466"/>
      <c r="C169" s="2468"/>
      <c r="D169" s="2456"/>
      <c r="E169" s="2473"/>
      <c r="F169" s="2410"/>
      <c r="G169" s="2474"/>
      <c r="H169" s="2456"/>
      <c r="I169" s="2456"/>
      <c r="J169" s="2475"/>
      <c r="K169" s="2386"/>
      <c r="L169" s="2382"/>
      <c r="M169" s="2382"/>
      <c r="N169" s="2674"/>
      <c r="O169" s="2413"/>
      <c r="P169" s="2734"/>
      <c r="Q169" s="2734" t="s">
        <v>118</v>
      </c>
      <c r="R169" s="3128" t="s">
        <v>22</v>
      </c>
      <c r="S169" s="2733" t="s">
        <v>66</v>
      </c>
      <c r="T169" s="2437"/>
      <c r="U169" s="2437" t="s">
        <v>118</v>
      </c>
      <c r="V169" s="2469" t="s">
        <v>22</v>
      </c>
      <c r="W169" s="2427"/>
      <c r="Y169" s="1893"/>
      <c r="Z169" s="1893"/>
      <c r="AA169" s="1893"/>
      <c r="AB169" s="1893"/>
      <c r="AC169" s="1893"/>
      <c r="AD169" s="1893"/>
      <c r="AE169" s="1893"/>
      <c r="AF169" s="1893"/>
      <c r="AG169" s="1893"/>
      <c r="AH169" s="1893"/>
      <c r="AI169" s="1893"/>
      <c r="AJ169" s="1893"/>
      <c r="AK169" s="1893"/>
      <c r="AL169" s="2470"/>
      <c r="AM169" s="2470"/>
      <c r="AN169" s="1893"/>
      <c r="AO169" s="1893"/>
      <c r="AP169" s="1893"/>
      <c r="AQ169" s="1893"/>
    </row>
    <row s="34794" customFormat="1" customHeight="1" ht="17.25">
      <c r="A170" s="2466"/>
      <c r="C170" s="2471"/>
      <c r="D170" s="2456"/>
      <c r="E170" s="2473"/>
      <c r="F170" s="2410"/>
      <c r="G170" s="2474"/>
      <c r="H170" s="2456"/>
      <c r="I170" s="2456"/>
      <c r="J170" s="2475"/>
      <c r="K170" s="2386"/>
      <c r="L170" s="2382"/>
      <c r="M170" s="2382"/>
      <c r="N170" s="2674"/>
      <c r="O170" s="2413"/>
      <c r="P170" s="2734"/>
      <c r="Q170" s="2734"/>
      <c r="R170" s="3128"/>
      <c r="S170" s="2733"/>
      <c r="T170" s="943"/>
      <c r="U170" s="944"/>
      <c r="V170" s="944" t="s">
        <v>432</v>
      </c>
      <c r="W170" s="945"/>
      <c r="Y170" s="1885"/>
      <c r="Z170" s="1885"/>
      <c r="AA170" s="1885"/>
      <c r="AB170" s="1885"/>
      <c r="AC170" s="1885"/>
      <c r="AD170" s="1885"/>
      <c r="AE170" s="1885"/>
      <c r="AF170" s="1885"/>
      <c r="AG170" s="1885"/>
      <c r="AH170" s="1885"/>
      <c r="AI170" s="1885"/>
      <c r="AJ170" s="1885"/>
      <c r="AK170" s="1885"/>
    </row>
    <row customHeight="1" ht="17.25">
      <c r="G171" s="2465"/>
      <c r="H171" s="2465"/>
      <c r="I171" s="2465"/>
      <c r="M171" s="2461"/>
    </row>
    <row s="34794" customFormat="1" customHeight="1" ht="17.25">
      <c r="A172" s="2466"/>
      <c r="C172" s="2468"/>
      <c r="D172" s="2456"/>
      <c r="E172" s="2473"/>
      <c r="F172" s="2410"/>
      <c r="G172" s="2474"/>
      <c r="H172" s="2382"/>
      <c r="I172" s="2382"/>
      <c r="J172" s="2383"/>
      <c r="K172" s="2474"/>
      <c r="L172" s="2382"/>
      <c r="M172" s="2382"/>
      <c r="N172" s="2474"/>
      <c r="O172" s="2474"/>
      <c r="P172" s="2382"/>
      <c r="Q172" s="2382"/>
      <c r="R172" s="2384"/>
      <c r="S172" s="2474"/>
      <c r="T172" s="2437"/>
      <c r="U172" s="2437" t="s">
        <v>118</v>
      </c>
      <c r="V172" s="2469" t="s">
        <v>22</v>
      </c>
      <c r="W172" s="2427"/>
      <c r="Y172" s="1893"/>
      <c r="Z172" s="1893"/>
      <c r="AA172" s="1893"/>
      <c r="AB172" s="1893"/>
      <c r="AC172" s="1893"/>
      <c r="AD172" s="1893"/>
      <c r="AE172" s="1893"/>
      <c r="AF172" s="1893"/>
      <c r="AG172" s="1893"/>
      <c r="AH172" s="1893"/>
      <c r="AI172" s="1893"/>
      <c r="AJ172" s="1893"/>
      <c r="AK172" s="1893"/>
      <c r="AL172" s="2470"/>
      <c r="AM172" s="2470"/>
      <c r="AN172" s="1893"/>
      <c r="AO172" s="1893"/>
      <c r="AP172" s="1893"/>
      <c r="AQ172" s="1893"/>
    </row>
    <row r="174" s="37396" customFormat="1" customHeight="1" ht="17.25">
      <c r="A174" s="2441" t="s">
        <v>2121</v>
      </c>
    </row>
    <row customHeight="1" ht="17.25">
      <c r="G175" s="2465"/>
      <c r="H175" s="2465"/>
      <c r="I175" s="2465"/>
      <c r="M175" s="2461"/>
    </row>
    <row s="34794" customFormat="1" customHeight="1" ht="17.25">
      <c r="A176" s="2466"/>
      <c r="C176" s="2468"/>
      <c r="D176" s="3155"/>
      <c r="E176" s="2769"/>
      <c r="F176" s="2771"/>
      <c r="G176" s="3157"/>
      <c r="H176" s="3155"/>
      <c r="I176" s="3155">
        <v>1</v>
      </c>
      <c r="J176" s="3127"/>
      <c r="K176" s="2811" t="s">
        <v>66</v>
      </c>
      <c r="L176" s="2734"/>
      <c r="M176" s="2734" t="s">
        <v>118</v>
      </c>
      <c r="N176" s="3130" t="str">
        <f>IF(Z176="","",INDEX(TERRITORY_MR_LIST,MATCH(Z176,TERRITORY_LIST_ID,0)))</f>
        <v/>
      </c>
      <c r="O176" s="2811" t="s">
        <v>66</v>
      </c>
      <c r="P176" s="2734"/>
      <c r="Q176" s="2734" t="s">
        <v>118</v>
      </c>
      <c r="R176" s="3128" t="s">
        <v>22</v>
      </c>
      <c r="S176" s="3032" t="s">
        <v>19</v>
      </c>
      <c r="T176" s="2428"/>
      <c r="U176" s="2428" t="s">
        <v>118</v>
      </c>
      <c r="V176" s="2060"/>
      <c r="W176" s="3127"/>
      <c r="Y176" s="1893"/>
      <c r="Z176" s="1893"/>
      <c r="AA176" s="1893"/>
      <c r="AB176" s="1893"/>
      <c r="AC176" s="1893"/>
      <c r="AD176" s="1893"/>
      <c r="AE176" s="1893"/>
      <c r="AF176" s="1893"/>
      <c r="AG176" s="1893"/>
      <c r="AH176" s="1893"/>
      <c r="AI176" s="1893"/>
      <c r="AJ176" s="1893"/>
      <c r="AK176" s="1893"/>
      <c r="AL176" s="2470"/>
      <c r="AM176" s="2470"/>
      <c r="AN176" s="1893"/>
      <c r="AO176" s="1893"/>
      <c r="AP176" s="1893"/>
      <c r="AQ176" s="1893"/>
    </row>
    <row s="34794" customFormat="1" customHeight="1" ht="17.25">
      <c r="A177" s="2466"/>
      <c r="C177" s="2471"/>
      <c r="D177" s="3155"/>
      <c r="E177" s="2769"/>
      <c r="F177" s="2772"/>
      <c r="G177" s="3157"/>
      <c r="H177" s="3155"/>
      <c r="I177" s="3155"/>
      <c r="J177" s="3127"/>
      <c r="K177" s="2812"/>
      <c r="L177" s="2734"/>
      <c r="M177" s="2734"/>
      <c r="N177" s="3130"/>
      <c r="O177" s="2812"/>
      <c r="P177" s="2734"/>
      <c r="Q177" s="2734"/>
      <c r="R177" s="3128"/>
      <c r="S177" s="3032"/>
      <c r="T177" s="2061"/>
      <c r="U177" s="2062"/>
      <c r="V177" s="2062"/>
      <c r="W177" s="3127"/>
      <c r="Y177" s="1885"/>
      <c r="Z177" s="1885"/>
      <c r="AA177" s="1885"/>
      <c r="AB177" s="1885"/>
      <c r="AC177" s="1885"/>
      <c r="AD177" s="1885"/>
      <c r="AE177" s="1885"/>
      <c r="AF177" s="1885"/>
      <c r="AG177" s="1885"/>
      <c r="AH177" s="1885"/>
      <c r="AI177" s="1885"/>
      <c r="AJ177" s="1885"/>
      <c r="AK177" s="1885"/>
    </row>
    <row s="34794" customFormat="1" customHeight="1" ht="17.25">
      <c r="A178" s="2466"/>
      <c r="C178" s="2471"/>
      <c r="D178" s="3129"/>
      <c r="E178" s="3156"/>
      <c r="F178" s="2772"/>
      <c r="G178" s="3158"/>
      <c r="H178" s="3129"/>
      <c r="I178" s="3129"/>
      <c r="J178" s="3159"/>
      <c r="K178" s="2812"/>
      <c r="L178" s="3129"/>
      <c r="M178" s="3129"/>
      <c r="N178" s="3131"/>
      <c r="O178" s="2738"/>
      <c r="P178" s="943"/>
      <c r="Q178" s="944"/>
      <c r="R178" s="944" t="s">
        <v>433</v>
      </c>
      <c r="S178" s="2472"/>
      <c r="T178" s="2472"/>
      <c r="U178" s="2472"/>
      <c r="V178" s="2472"/>
      <c r="W178" s="2059"/>
      <c r="Y178" s="1885"/>
      <c r="Z178" s="1885"/>
      <c r="AA178" s="1885"/>
      <c r="AB178" s="1885"/>
      <c r="AC178" s="1885"/>
      <c r="AD178" s="1885"/>
      <c r="AE178" s="1885"/>
      <c r="AF178" s="1885"/>
      <c r="AG178" s="1885"/>
      <c r="AH178" s="1885"/>
      <c r="AI178" s="1885"/>
      <c r="AJ178" s="1885"/>
      <c r="AK178" s="1885"/>
    </row>
    <row s="34794" customFormat="1" customHeight="1" ht="17.25">
      <c r="A179" s="2466"/>
      <c r="C179" s="2471"/>
      <c r="D179" s="3129"/>
      <c r="E179" s="3156"/>
      <c r="F179" s="2772"/>
      <c r="G179" s="3158"/>
      <c r="H179" s="3129"/>
      <c r="I179" s="3129"/>
      <c r="J179" s="3159"/>
      <c r="K179" s="2738"/>
      <c r="L179" s="943"/>
      <c r="M179" s="944"/>
      <c r="N179" s="944" t="s">
        <v>434</v>
      </c>
      <c r="O179" s="944"/>
      <c r="P179" s="944"/>
      <c r="Q179" s="944"/>
      <c r="R179" s="944"/>
      <c r="S179" s="2472"/>
      <c r="T179" s="2472"/>
      <c r="U179" s="2472"/>
      <c r="V179" s="2472"/>
      <c r="W179" s="945"/>
      <c r="Y179" s="1885"/>
      <c r="Z179" s="1885"/>
      <c r="AA179" s="1885"/>
      <c r="AB179" s="1885"/>
      <c r="AC179" s="1885"/>
      <c r="AD179" s="1885"/>
      <c r="AE179" s="1885"/>
      <c r="AF179" s="1885"/>
      <c r="AG179" s="1885"/>
      <c r="AH179" s="1885"/>
      <c r="AI179" s="1885"/>
      <c r="AJ179" s="1885"/>
      <c r="AK179" s="1885"/>
    </row>
    <row s="34794" customFormat="1" customHeight="1" ht="17.25">
      <c r="A180" s="2466"/>
      <c r="C180" s="2471"/>
      <c r="D180" s="3129"/>
      <c r="E180" s="3156"/>
      <c r="F180" s="2773"/>
      <c r="G180" s="3158"/>
      <c r="H180" s="943"/>
      <c r="I180" s="944"/>
      <c r="J180" s="944" t="s">
        <v>466</v>
      </c>
      <c r="K180" s="944"/>
      <c r="L180" s="944"/>
      <c r="M180" s="944"/>
      <c r="N180" s="944"/>
      <c r="O180" s="944"/>
      <c r="P180" s="944"/>
      <c r="Q180" s="944"/>
      <c r="R180" s="944"/>
      <c r="S180" s="2472"/>
      <c r="T180" s="2472"/>
      <c r="U180" s="2472"/>
      <c r="V180" s="2472"/>
      <c r="W180" s="945"/>
      <c r="Y180" s="1885"/>
      <c r="Z180" s="1885"/>
      <c r="AA180" s="1885"/>
      <c r="AB180" s="1885"/>
      <c r="AC180" s="1885"/>
      <c r="AD180" s="1885"/>
      <c r="AE180" s="1885"/>
      <c r="AF180" s="1885"/>
      <c r="AG180" s="1885"/>
      <c r="AH180" s="1885"/>
      <c r="AI180" s="1885"/>
      <c r="AJ180" s="1885"/>
      <c r="AK180" s="1885"/>
    </row>
    <row customHeight="1" ht="17.25">
      <c r="A181" s="2476"/>
    </row>
    <row s="34794" customFormat="1" customHeight="1" ht="17.25">
      <c r="A182" s="2466"/>
      <c r="C182" s="2468"/>
      <c r="D182" s="2456"/>
      <c r="E182" s="2473"/>
      <c r="F182" s="2410"/>
      <c r="G182" s="2474"/>
      <c r="H182" s="3155"/>
      <c r="I182" s="3155">
        <v>1</v>
      </c>
      <c r="J182" s="3127"/>
      <c r="K182" s="2811" t="s">
        <v>66</v>
      </c>
      <c r="L182" s="2734"/>
      <c r="M182" s="2734" t="s">
        <v>118</v>
      </c>
      <c r="N182" s="3130" t="str">
        <f>IF(Z182="","",INDEX(TERRITORY_MR_LIST,MATCH(Z182,TERRITORY_LIST_ID,0)))</f>
        <v/>
      </c>
      <c r="O182" s="2811" t="s">
        <v>66</v>
      </c>
      <c r="P182" s="2734"/>
      <c r="Q182" s="2734" t="s">
        <v>118</v>
      </c>
      <c r="R182" s="3128" t="s">
        <v>22</v>
      </c>
      <c r="S182" s="3032" t="s">
        <v>19</v>
      </c>
      <c r="T182" s="2428"/>
      <c r="U182" s="2428" t="s">
        <v>118</v>
      </c>
      <c r="V182" s="2060"/>
      <c r="W182" s="3127"/>
      <c r="Y182" s="1893"/>
      <c r="Z182" s="1893"/>
      <c r="AA182" s="1893"/>
      <c r="AB182" s="1893"/>
      <c r="AC182" s="1893"/>
      <c r="AD182" s="1893"/>
      <c r="AE182" s="1893"/>
      <c r="AF182" s="1893"/>
      <c r="AG182" s="1893"/>
      <c r="AH182" s="1893"/>
      <c r="AI182" s="1893"/>
      <c r="AJ182" s="1893"/>
      <c r="AK182" s="1893"/>
      <c r="AL182" s="2470"/>
      <c r="AM182" s="2470"/>
      <c r="AN182" s="1893"/>
      <c r="AO182" s="1893"/>
      <c r="AP182" s="1893"/>
      <c r="AQ182" s="1893"/>
    </row>
    <row s="34794" customFormat="1" customHeight="1" ht="17.25">
      <c r="A183" s="2466"/>
      <c r="C183" s="2471"/>
      <c r="D183" s="2456"/>
      <c r="E183" s="2473"/>
      <c r="F183" s="2410"/>
      <c r="G183" s="2474"/>
      <c r="H183" s="3155"/>
      <c r="I183" s="3155"/>
      <c r="J183" s="3127"/>
      <c r="K183" s="2812"/>
      <c r="L183" s="2734"/>
      <c r="M183" s="2734"/>
      <c r="N183" s="3130"/>
      <c r="O183" s="2812"/>
      <c r="P183" s="2734"/>
      <c r="Q183" s="2734"/>
      <c r="R183" s="3128"/>
      <c r="S183" s="3032"/>
      <c r="T183" s="2061"/>
      <c r="U183" s="2062"/>
      <c r="V183" s="2062"/>
      <c r="W183" s="3127"/>
      <c r="Y183" s="1885"/>
      <c r="Z183" s="1885"/>
      <c r="AA183" s="1885"/>
      <c r="AB183" s="1885"/>
      <c r="AC183" s="1885"/>
      <c r="AD183" s="1885"/>
      <c r="AE183" s="1885"/>
      <c r="AF183" s="1885"/>
      <c r="AG183" s="1885"/>
      <c r="AH183" s="1885"/>
      <c r="AI183" s="1885"/>
      <c r="AJ183" s="1885"/>
      <c r="AK183" s="1885"/>
    </row>
    <row s="34794" customFormat="1" customHeight="1" ht="17.25">
      <c r="A184" s="2466"/>
      <c r="C184" s="2471"/>
      <c r="D184" s="2456"/>
      <c r="E184" s="2473"/>
      <c r="F184" s="2410"/>
      <c r="G184" s="2474"/>
      <c r="H184" s="3129"/>
      <c r="I184" s="3129"/>
      <c r="J184" s="3159"/>
      <c r="K184" s="2812"/>
      <c r="L184" s="3129"/>
      <c r="M184" s="3129"/>
      <c r="N184" s="3131"/>
      <c r="O184" s="2738"/>
      <c r="P184" s="943"/>
      <c r="Q184" s="944"/>
      <c r="R184" s="944" t="s">
        <v>433</v>
      </c>
      <c r="S184" s="2472"/>
      <c r="T184" s="2472"/>
      <c r="U184" s="2472"/>
      <c r="V184" s="2472"/>
      <c r="W184" s="2059"/>
      <c r="Y184" s="1885"/>
      <c r="Z184" s="1885"/>
      <c r="AA184" s="1885"/>
      <c r="AB184" s="1885"/>
      <c r="AC184" s="1885"/>
      <c r="AD184" s="1885"/>
      <c r="AE184" s="1885"/>
      <c r="AF184" s="1885"/>
      <c r="AG184" s="1885"/>
      <c r="AH184" s="1885"/>
      <c r="AI184" s="1885"/>
      <c r="AJ184" s="1885"/>
      <c r="AK184" s="1885"/>
    </row>
    <row s="34794" customFormat="1" customHeight="1" ht="17.25">
      <c r="A185" s="2466"/>
      <c r="C185" s="2471"/>
      <c r="D185" s="2456"/>
      <c r="E185" s="2473"/>
      <c r="F185" s="2410"/>
      <c r="G185" s="2474"/>
      <c r="H185" s="3129"/>
      <c r="I185" s="3129"/>
      <c r="J185" s="3159"/>
      <c r="K185" s="2738"/>
      <c r="L185" s="943"/>
      <c r="M185" s="944"/>
      <c r="N185" s="944" t="s">
        <v>434</v>
      </c>
      <c r="O185" s="944"/>
      <c r="P185" s="944"/>
      <c r="Q185" s="944"/>
      <c r="R185" s="944"/>
      <c r="S185" s="2472"/>
      <c r="T185" s="2472"/>
      <c r="U185" s="2472"/>
      <c r="V185" s="2472"/>
      <c r="W185" s="945"/>
      <c r="Y185" s="1885"/>
      <c r="Z185" s="1885"/>
      <c r="AA185" s="1885"/>
      <c r="AB185" s="1885"/>
      <c r="AC185" s="1885"/>
      <c r="AD185" s="1885"/>
      <c r="AE185" s="1885"/>
      <c r="AF185" s="1885"/>
      <c r="AG185" s="1885"/>
      <c r="AH185" s="1885"/>
      <c r="AI185" s="1885"/>
      <c r="AJ185" s="1885"/>
      <c r="AK185" s="1885"/>
    </row>
    <row customHeight="1" ht="17.25">
      <c r="A186" s="2476"/>
    </row>
    <row s="34794" customFormat="1" customHeight="1" ht="17.25">
      <c r="A187" s="2466"/>
      <c r="C187" s="2468"/>
      <c r="D187" s="2456"/>
      <c r="E187" s="2473"/>
      <c r="F187" s="2410"/>
      <c r="G187" s="2474"/>
      <c r="H187" s="2456"/>
      <c r="I187" s="2456"/>
      <c r="J187" s="2477"/>
      <c r="K187" s="2474"/>
      <c r="L187" s="2734"/>
      <c r="M187" s="2734" t="s">
        <v>118</v>
      </c>
      <c r="N187" s="3130" t="str">
        <f>IF(Z187="","",INDEX(TERRITORY_MR_LIST,MATCH(Z187,TERRITORY_LIST_ID,0)))</f>
        <v/>
      </c>
      <c r="O187" s="2811" t="s">
        <v>66</v>
      </c>
      <c r="P187" s="2734"/>
      <c r="Q187" s="2734" t="s">
        <v>118</v>
      </c>
      <c r="R187" s="3128" t="s">
        <v>22</v>
      </c>
      <c r="S187" s="3032" t="s">
        <v>19</v>
      </c>
      <c r="T187" s="2428"/>
      <c r="U187" s="2428" t="s">
        <v>118</v>
      </c>
      <c r="V187" s="2060"/>
      <c r="W187" s="3127"/>
      <c r="Y187" s="1893"/>
      <c r="Z187" s="1893"/>
      <c r="AA187" s="1893"/>
      <c r="AB187" s="1893"/>
      <c r="AC187" s="1893"/>
      <c r="AD187" s="1893"/>
      <c r="AE187" s="1893"/>
      <c r="AF187" s="1893"/>
      <c r="AG187" s="1893"/>
      <c r="AH187" s="1893"/>
      <c r="AI187" s="1893"/>
      <c r="AJ187" s="1893"/>
      <c r="AK187" s="1893"/>
      <c r="AL187" s="2470"/>
      <c r="AM187" s="2470"/>
      <c r="AN187" s="1893"/>
      <c r="AO187" s="1893"/>
      <c r="AP187" s="1893"/>
      <c r="AQ187" s="1893"/>
    </row>
    <row s="34794" customFormat="1" customHeight="1" ht="17.25">
      <c r="A188" s="2466"/>
      <c r="C188" s="2471"/>
      <c r="D188" s="2456"/>
      <c r="E188" s="2473"/>
      <c r="F188" s="2410"/>
      <c r="G188" s="2474"/>
      <c r="H188" s="2456"/>
      <c r="I188" s="2456"/>
      <c r="J188" s="2477"/>
      <c r="K188" s="2474"/>
      <c r="L188" s="2734"/>
      <c r="M188" s="2734"/>
      <c r="N188" s="3130"/>
      <c r="O188" s="2812"/>
      <c r="P188" s="2734"/>
      <c r="Q188" s="2734"/>
      <c r="R188" s="3128"/>
      <c r="S188" s="3032"/>
      <c r="T188" s="2061"/>
      <c r="U188" s="2062"/>
      <c r="V188" s="2062"/>
      <c r="W188" s="3127"/>
      <c r="Y188" s="1885"/>
      <c r="Z188" s="1885"/>
      <c r="AA188" s="1885"/>
      <c r="AB188" s="1885"/>
      <c r="AC188" s="1885"/>
      <c r="AD188" s="1885"/>
      <c r="AE188" s="1885"/>
      <c r="AF188" s="1885"/>
      <c r="AG188" s="1885"/>
      <c r="AH188" s="1885"/>
      <c r="AI188" s="1885"/>
      <c r="AJ188" s="1885"/>
      <c r="AK188" s="1885"/>
    </row>
    <row s="34794" customFormat="1" customHeight="1" ht="17.25">
      <c r="A189" s="2466"/>
      <c r="C189" s="2471"/>
      <c r="D189" s="2456"/>
      <c r="E189" s="2473"/>
      <c r="F189" s="2410"/>
      <c r="G189" s="2474"/>
      <c r="H189" s="2456"/>
      <c r="I189" s="2456"/>
      <c r="J189" s="2477"/>
      <c r="K189" s="2474"/>
      <c r="L189" s="3129"/>
      <c r="M189" s="3129"/>
      <c r="N189" s="3131"/>
      <c r="O189" s="2738"/>
      <c r="P189" s="943"/>
      <c r="Q189" s="944"/>
      <c r="R189" s="944" t="s">
        <v>433</v>
      </c>
      <c r="S189" s="2472"/>
      <c r="T189" s="2472"/>
      <c r="U189" s="2472"/>
      <c r="V189" s="2472"/>
      <c r="W189" s="2059"/>
      <c r="Y189" s="1885"/>
      <c r="Z189" s="1885"/>
      <c r="AA189" s="1885"/>
      <c r="AB189" s="1885"/>
      <c r="AC189" s="1885"/>
      <c r="AD189" s="1885"/>
      <c r="AE189" s="1885"/>
      <c r="AF189" s="1885"/>
      <c r="AG189" s="1885"/>
      <c r="AH189" s="1885"/>
      <c r="AI189" s="1885"/>
      <c r="AJ189" s="1885"/>
      <c r="AK189" s="1885"/>
    </row>
    <row customHeight="1" ht="17.25">
      <c r="A190" s="2476"/>
    </row>
    <row s="34794" customFormat="1" customHeight="1" ht="17.25">
      <c r="A191" s="2466"/>
      <c r="C191" s="2468"/>
      <c r="D191" s="2456"/>
      <c r="E191" s="2473"/>
      <c r="F191" s="2410"/>
      <c r="G191" s="2474"/>
      <c r="H191" s="2456"/>
      <c r="I191" s="2456"/>
      <c r="J191" s="2477"/>
      <c r="K191" s="2474"/>
      <c r="L191" s="2456"/>
      <c r="M191" s="2456"/>
      <c r="N191" s="2674"/>
      <c r="O191" s="2413"/>
      <c r="P191" s="2734"/>
      <c r="Q191" s="2734" t="s">
        <v>118</v>
      </c>
      <c r="R191" s="3128" t="s">
        <v>22</v>
      </c>
      <c r="S191" s="3032" t="s">
        <v>19</v>
      </c>
      <c r="T191" s="2428"/>
      <c r="U191" s="2428" t="s">
        <v>118</v>
      </c>
      <c r="V191" s="2060"/>
      <c r="W191" s="3127"/>
      <c r="Y191" s="1893"/>
      <c r="Z191" s="1893"/>
      <c r="AA191" s="1893"/>
      <c r="AB191" s="1893"/>
      <c r="AC191" s="1893"/>
      <c r="AD191" s="1893"/>
      <c r="AE191" s="1893"/>
      <c r="AF191" s="1893"/>
      <c r="AG191" s="1893"/>
      <c r="AH191" s="1893"/>
      <c r="AI191" s="1893"/>
      <c r="AJ191" s="1893"/>
      <c r="AK191" s="1893"/>
      <c r="AL191" s="2470"/>
      <c r="AM191" s="2470"/>
      <c r="AN191" s="1893"/>
      <c r="AO191" s="1893"/>
      <c r="AP191" s="1893"/>
      <c r="AQ191" s="1893"/>
    </row>
    <row s="34794" customFormat="1" customHeight="1" ht="17.25">
      <c r="A192" s="2466"/>
      <c r="C192" s="2471"/>
      <c r="D192" s="2456"/>
      <c r="E192" s="2473"/>
      <c r="F192" s="2410"/>
      <c r="G192" s="2474"/>
      <c r="H192" s="2456"/>
      <c r="I192" s="2456"/>
      <c r="J192" s="2477"/>
      <c r="K192" s="2474"/>
      <c r="L192" s="2456"/>
      <c r="M192" s="2456"/>
      <c r="N192" s="2674"/>
      <c r="O192" s="2413"/>
      <c r="P192" s="2734"/>
      <c r="Q192" s="2734"/>
      <c r="R192" s="3128"/>
      <c r="S192" s="3032"/>
      <c r="T192" s="2061"/>
      <c r="U192" s="2062"/>
      <c r="V192" s="2062"/>
      <c r="W192" s="3127"/>
      <c r="Y192" s="1885"/>
      <c r="Z192" s="1885"/>
      <c r="AA192" s="1885"/>
      <c r="AB192" s="1885"/>
      <c r="AC192" s="1885"/>
      <c r="AD192" s="1885"/>
      <c r="AE192" s="1885"/>
      <c r="AF192" s="1885"/>
      <c r="AG192" s="1885"/>
      <c r="AH192" s="1885"/>
      <c r="AI192" s="1885"/>
      <c r="AJ192" s="1885"/>
      <c r="AK192" s="1885"/>
    </row>
    <row customHeight="1" ht="17.25">
      <c r="A193" s="2476"/>
    </row>
    <row customHeight="1" ht="16.5">
      <c r="A194" s="2466"/>
      <c r="B194" s="2467"/>
      <c r="C194" s="2471"/>
      <c r="D194" s="3179"/>
      <c r="E194" s="2805"/>
      <c r="F194" s="2805"/>
      <c r="G194" s="2753"/>
      <c r="H194" s="3180"/>
      <c r="I194" s="3193"/>
      <c r="J194" s="2778"/>
      <c r="K194" s="2763"/>
      <c r="L194" s="2763"/>
      <c r="M194" s="2763"/>
      <c r="N194" s="3191"/>
      <c r="O194" s="2763"/>
      <c r="P194" s="2763"/>
      <c r="Q194" s="2763"/>
      <c r="R194" s="3189"/>
      <c r="S194" s="2763"/>
      <c r="T194" s="2409"/>
      <c r="U194" s="2409"/>
      <c r="V194" s="2478"/>
      <c r="W194" s="1922"/>
    </row>
    <row customHeight="1" ht="16.5">
      <c r="A195" s="2466"/>
      <c r="B195" s="2467"/>
      <c r="C195" s="2471"/>
      <c r="D195" s="3179"/>
      <c r="E195" s="2805"/>
      <c r="F195" s="2805"/>
      <c r="G195" s="2753"/>
      <c r="H195" s="3181"/>
      <c r="I195" s="3194"/>
      <c r="J195" s="2779"/>
      <c r="K195" s="2764"/>
      <c r="L195" s="2764"/>
      <c r="M195" s="2764"/>
      <c r="N195" s="3192"/>
      <c r="O195" s="2764"/>
      <c r="P195" s="2764"/>
      <c r="Q195" s="2764"/>
      <c r="R195" s="3190"/>
      <c r="S195" s="2764"/>
      <c r="T195" s="1923"/>
      <c r="U195" s="1923"/>
      <c r="V195" s="1923"/>
      <c r="W195" s="1924"/>
    </row>
    <row customHeight="1" ht="17.25">
      <c r="A196" s="2466"/>
      <c r="B196" s="2467"/>
      <c r="C196" s="2471"/>
      <c r="D196" s="3179"/>
      <c r="E196" s="2805"/>
      <c r="F196" s="2805"/>
      <c r="G196" s="2753"/>
      <c r="H196" s="3181"/>
      <c r="I196" s="3194"/>
      <c r="J196" s="3182"/>
      <c r="K196" s="2764"/>
      <c r="L196" s="2764"/>
      <c r="M196" s="2764"/>
      <c r="N196" s="3190"/>
      <c r="O196" s="2764"/>
      <c r="P196" s="2412"/>
      <c r="Q196" s="1923"/>
      <c r="R196" s="1923"/>
      <c r="S196" s="2479"/>
      <c r="T196" s="2479"/>
      <c r="U196" s="2479"/>
      <c r="V196" s="2479"/>
      <c r="W196" s="1924"/>
    </row>
    <row customHeight="1" ht="17.25">
      <c r="A197" s="2466"/>
      <c r="B197" s="2467"/>
      <c r="C197" s="2471"/>
      <c r="D197" s="3179"/>
      <c r="E197" s="2805"/>
      <c r="F197" s="2805"/>
      <c r="G197" s="2753"/>
      <c r="H197" s="3181"/>
      <c r="I197" s="3194"/>
      <c r="J197" s="3182"/>
      <c r="K197" s="2764"/>
      <c r="L197" s="1923"/>
      <c r="M197" s="1923"/>
      <c r="N197" s="1923"/>
      <c r="O197" s="1923"/>
      <c r="P197" s="1923"/>
      <c r="Q197" s="1923"/>
      <c r="R197" s="1923"/>
      <c r="S197" s="2479"/>
      <c r="T197" s="2479"/>
      <c r="U197" s="2479"/>
      <c r="V197" s="2479"/>
      <c r="W197" s="1924"/>
    </row>
    <row customHeight="1" ht="17.25">
      <c r="A198" s="2466"/>
      <c r="B198" s="2467"/>
      <c r="C198" s="2471"/>
      <c r="D198" s="3179"/>
      <c r="E198" s="2805"/>
      <c r="F198" s="2805"/>
      <c r="G198" s="2753"/>
      <c r="H198" s="1925"/>
      <c r="I198" s="1926"/>
      <c r="J198" s="1926"/>
      <c r="K198" s="1926"/>
      <c r="L198" s="1926"/>
      <c r="M198" s="1926"/>
      <c r="N198" s="1926"/>
      <c r="O198" s="1926"/>
      <c r="P198" s="1926"/>
      <c r="Q198" s="1926"/>
      <c r="R198" s="1926"/>
      <c r="S198" s="2480"/>
      <c r="T198" s="2480"/>
      <c r="U198" s="2480"/>
      <c r="V198" s="2480"/>
      <c r="W198" s="1928"/>
    </row>
    <row r="200" s="37396" customFormat="1" customHeight="1" ht="17.25">
      <c r="A200" s="2441" t="s">
        <v>2122</v>
      </c>
    </row>
    <row customHeight="1" ht="17.25">
      <c r="G201" s="2465"/>
      <c r="H201" s="2465"/>
      <c r="I201" s="2465"/>
      <c r="M201" s="2461"/>
    </row>
    <row s="34718" customFormat="1" customHeight="1" ht="15">
      <c r="D202" s="3149"/>
      <c r="E202" s="2825"/>
      <c r="F202" s="2825"/>
      <c r="G202" s="2811"/>
      <c r="H202" s="2190"/>
      <c r="I202" s="3153">
        <v>1</v>
      </c>
      <c r="J202" s="3127"/>
      <c r="K202" s="2205"/>
      <c r="L202" s="2811" t="s">
        <v>66</v>
      </c>
      <c r="M202" s="2811" t="s">
        <v>66</v>
      </c>
      <c r="N202" s="2190"/>
      <c r="O202" s="2734" t="s">
        <v>118</v>
      </c>
      <c r="P202" s="3143"/>
      <c r="Q202" s="2206"/>
      <c r="R202" s="2811" t="s">
        <v>66</v>
      </c>
      <c r="S202" s="2811" t="s">
        <v>66</v>
      </c>
      <c r="T202" s="2481"/>
      <c r="U202" s="2734" t="s">
        <v>118</v>
      </c>
      <c r="V202" s="3150" t="str">
        <f>IF(AK202="","",INDEX(TERRITORY_MR_LIST,MATCH(AK202,TERRITORY_LIST_ID,0)))</f>
        <v/>
      </c>
      <c r="W202" s="2207"/>
      <c r="X202" s="2811" t="s">
        <v>66</v>
      </c>
      <c r="Y202" s="2811" t="s">
        <v>19</v>
      </c>
      <c r="Z202" s="2190"/>
      <c r="AA202" s="2734" t="s">
        <v>118</v>
      </c>
      <c r="AB202" s="3152"/>
      <c r="AC202" s="2208"/>
      <c r="AD202" s="2811" t="s">
        <v>66</v>
      </c>
      <c r="AE202" s="2811" t="s">
        <v>19</v>
      </c>
      <c r="AF202" s="2188"/>
      <c r="AG202" s="2437" t="s">
        <v>118</v>
      </c>
      <c r="AH202" s="2198"/>
      <c r="AI202" s="2427"/>
    </row>
    <row s="34718" customFormat="1" customHeight="1" ht="15">
      <c r="D203" s="3149"/>
      <c r="E203" s="2825"/>
      <c r="F203" s="2825"/>
      <c r="G203" s="2812"/>
      <c r="H203" s="2190"/>
      <c r="I203" s="3153"/>
      <c r="J203" s="3127"/>
      <c r="K203" s="2189"/>
      <c r="L203" s="2812"/>
      <c r="M203" s="2812"/>
      <c r="N203" s="2190"/>
      <c r="O203" s="2734"/>
      <c r="P203" s="3143"/>
      <c r="Q203" s="2186"/>
      <c r="R203" s="2812"/>
      <c r="S203" s="2812"/>
      <c r="T203" s="2481"/>
      <c r="U203" s="2734"/>
      <c r="V203" s="3151"/>
      <c r="W203" s="2187"/>
      <c r="X203" s="2812"/>
      <c r="Y203" s="2812"/>
      <c r="Z203" s="2190"/>
      <c r="AA203" s="2734"/>
      <c r="AB203" s="3121"/>
      <c r="AC203" s="2191"/>
      <c r="AD203" s="2738"/>
      <c r="AE203" s="2738"/>
      <c r="AF203" s="2192"/>
      <c r="AG203" s="2193"/>
      <c r="AH203" s="3144" t="s">
        <v>2123</v>
      </c>
      <c r="AI203" s="3145"/>
    </row>
    <row s="34718" customFormat="1" customHeight="1" ht="15">
      <c r="D204" s="3149"/>
      <c r="E204" s="2825"/>
      <c r="F204" s="2825"/>
      <c r="G204" s="2812"/>
      <c r="H204" s="2190"/>
      <c r="I204" s="3153"/>
      <c r="J204" s="3127"/>
      <c r="K204" s="2189"/>
      <c r="L204" s="2812"/>
      <c r="M204" s="2812"/>
      <c r="N204" s="2190"/>
      <c r="O204" s="2734"/>
      <c r="P204" s="3143"/>
      <c r="Q204" s="2186"/>
      <c r="R204" s="2812"/>
      <c r="S204" s="2812"/>
      <c r="T204" s="2481"/>
      <c r="U204" s="2734"/>
      <c r="V204" s="3151"/>
      <c r="W204" s="2187"/>
      <c r="X204" s="2812"/>
      <c r="Y204" s="2812"/>
      <c r="Z204" s="2229"/>
      <c r="AA204" s="2195"/>
      <c r="AB204" s="3146" t="s">
        <v>2124</v>
      </c>
      <c r="AC204" s="3146"/>
      <c r="AD204" s="3146"/>
      <c r="AE204" s="3146"/>
      <c r="AF204" s="3146"/>
      <c r="AG204" s="3146"/>
      <c r="AH204" s="3146"/>
      <c r="AI204" s="3147"/>
    </row>
    <row s="34718" customFormat="1" customHeight="1" ht="15">
      <c r="D205" s="3149"/>
      <c r="E205" s="2825"/>
      <c r="F205" s="2825"/>
      <c r="G205" s="2812"/>
      <c r="H205" s="2190"/>
      <c r="I205" s="3153"/>
      <c r="J205" s="3127"/>
      <c r="K205" s="2189"/>
      <c r="L205" s="2812"/>
      <c r="M205" s="2812"/>
      <c r="N205" s="2190"/>
      <c r="O205" s="2734"/>
      <c r="P205" s="3148"/>
      <c r="Q205" s="2186"/>
      <c r="R205" s="2812"/>
      <c r="S205" s="2812"/>
      <c r="T205" s="2482"/>
      <c r="U205" s="2230"/>
      <c r="V205" s="3144" t="s">
        <v>112</v>
      </c>
      <c r="W205" s="3144"/>
      <c r="X205" s="3144"/>
      <c r="Y205" s="3144"/>
      <c r="Z205" s="3144"/>
      <c r="AA205" s="3144"/>
      <c r="AB205" s="3144"/>
      <c r="AC205" s="3144"/>
      <c r="AD205" s="3144"/>
      <c r="AE205" s="3144"/>
      <c r="AF205" s="3144"/>
      <c r="AG205" s="3144"/>
      <c r="AH205" s="3144"/>
      <c r="AI205" s="3145"/>
    </row>
    <row s="34718" customFormat="1" customHeight="1" ht="11.25">
      <c r="D206" s="3149"/>
      <c r="E206" s="2825"/>
      <c r="F206" s="2825"/>
      <c r="G206" s="2812"/>
      <c r="H206" s="2194"/>
      <c r="I206" s="3153"/>
      <c r="J206" s="3154"/>
      <c r="K206" s="2189"/>
      <c r="L206" s="2812"/>
      <c r="M206" s="2812"/>
      <c r="N206" s="2194"/>
      <c r="O206" s="2195"/>
      <c r="P206" s="3144" t="s">
        <v>2125</v>
      </c>
      <c r="Q206" s="3144"/>
      <c r="R206" s="3144"/>
      <c r="S206" s="3144"/>
      <c r="T206" s="3144"/>
      <c r="U206" s="3144"/>
      <c r="V206" s="3144"/>
      <c r="W206" s="3144"/>
      <c r="X206" s="3144"/>
      <c r="Y206" s="3144"/>
      <c r="Z206" s="3144"/>
      <c r="AA206" s="3144"/>
      <c r="AB206" s="3144"/>
      <c r="AC206" s="3144"/>
      <c r="AD206" s="3144"/>
      <c r="AE206" s="3144"/>
      <c r="AF206" s="3144"/>
      <c r="AG206" s="3144"/>
      <c r="AH206" s="3144"/>
      <c r="AI206" s="3145"/>
    </row>
    <row s="34991" customFormat="1" customHeight="1" ht="11.25">
      <c r="D207" s="3149"/>
      <c r="E207" s="2825"/>
      <c r="F207" s="2825"/>
      <c r="G207" s="2738"/>
      <c r="H207" s="2196"/>
      <c r="I207" s="2197"/>
      <c r="J207" s="3144" t="s">
        <v>466</v>
      </c>
      <c r="K207" s="3144"/>
      <c r="L207" s="3144"/>
      <c r="M207" s="3144"/>
      <c r="N207" s="3144"/>
      <c r="O207" s="3144"/>
      <c r="P207" s="3144"/>
      <c r="Q207" s="3144"/>
      <c r="R207" s="3144"/>
      <c r="S207" s="3144"/>
      <c r="T207" s="3144"/>
      <c r="U207" s="3144"/>
      <c r="V207" s="3144"/>
      <c r="W207" s="3144"/>
      <c r="X207" s="3144"/>
      <c r="Y207" s="3144"/>
      <c r="Z207" s="3144"/>
      <c r="AA207" s="3144"/>
      <c r="AB207" s="3144"/>
      <c r="AC207" s="3144"/>
      <c r="AD207" s="3144"/>
      <c r="AE207" s="3144"/>
      <c r="AF207" s="3144"/>
      <c r="AG207" s="3144"/>
      <c r="AH207" s="3144"/>
      <c r="AI207" s="3145"/>
      <c r="BK207" s="2200"/>
    </row>
    <row customHeight="1" ht="17.25">
      <c r="G208" s="2465"/>
      <c r="I208" s="2465"/>
      <c r="J208" s="2465"/>
      <c r="N208" s="2461"/>
    </row>
    <row s="34718" customFormat="1" customHeight="1" ht="15">
      <c r="D209" s="3149"/>
      <c r="E209" s="2825"/>
      <c r="F209" s="2825"/>
      <c r="G209" s="2805"/>
      <c r="H209" s="2225"/>
      <c r="I209" s="2807"/>
      <c r="J209" s="2778"/>
      <c r="K209" s="2411"/>
      <c r="L209" s="2763"/>
      <c r="M209" s="2763"/>
      <c r="N209" s="2210"/>
      <c r="O209" s="2763"/>
      <c r="P209" s="2778"/>
      <c r="Q209" s="2415"/>
      <c r="R209" s="2763"/>
      <c r="S209" s="2763"/>
      <c r="T209" s="2483"/>
      <c r="U209" s="2763"/>
      <c r="V209" s="2778"/>
      <c r="W209" s="2213"/>
      <c r="X209" s="2763"/>
      <c r="Y209" s="2763"/>
      <c r="Z209" s="2210"/>
      <c r="AA209" s="2763"/>
      <c r="AB209" s="2778"/>
      <c r="AC209" s="2214"/>
      <c r="AD209" s="2763"/>
      <c r="AE209" s="2763"/>
      <c r="AF209" s="2409"/>
      <c r="AG209" s="2409"/>
      <c r="AH209" s="2215"/>
      <c r="AI209" s="1922"/>
    </row>
    <row s="34718" customFormat="1" customHeight="1" ht="15">
      <c r="D210" s="3149"/>
      <c r="E210" s="2825"/>
      <c r="F210" s="2825"/>
      <c r="G210" s="2805"/>
      <c r="H210" s="2226"/>
      <c r="I210" s="2808"/>
      <c r="J210" s="2779"/>
      <c r="K210" s="2236"/>
      <c r="L210" s="2764"/>
      <c r="M210" s="2764"/>
      <c r="N210" s="2216"/>
      <c r="O210" s="2764"/>
      <c r="P210" s="2779"/>
      <c r="Q210" s="2416"/>
      <c r="R210" s="2764"/>
      <c r="S210" s="2764"/>
      <c r="T210" s="2484"/>
      <c r="U210" s="2764"/>
      <c r="V210" s="2779"/>
      <c r="W210" s="2219"/>
      <c r="X210" s="2764"/>
      <c r="Y210" s="2764"/>
      <c r="Z210" s="2216"/>
      <c r="AA210" s="2764"/>
      <c r="AB210" s="2779"/>
      <c r="AC210" s="2220"/>
      <c r="AD210" s="2764"/>
      <c r="AE210" s="2764"/>
      <c r="AF210" s="2414"/>
      <c r="AG210" s="2414"/>
      <c r="AH210" s="2803"/>
      <c r="AI210" s="2804"/>
    </row>
    <row s="34718" customFormat="1" customHeight="1" ht="15">
      <c r="D211" s="3149"/>
      <c r="E211" s="2825"/>
      <c r="F211" s="2825"/>
      <c r="G211" s="2805"/>
      <c r="H211" s="2226"/>
      <c r="I211" s="2808"/>
      <c r="J211" s="2779"/>
      <c r="K211" s="2236"/>
      <c r="L211" s="2764"/>
      <c r="M211" s="2764"/>
      <c r="N211" s="2216"/>
      <c r="O211" s="2764"/>
      <c r="P211" s="2779"/>
      <c r="Q211" s="2416"/>
      <c r="R211" s="2764"/>
      <c r="S211" s="2764"/>
      <c r="T211" s="2484"/>
      <c r="U211" s="2764"/>
      <c r="V211" s="2779"/>
      <c r="W211" s="2219"/>
      <c r="X211" s="2764"/>
      <c r="Y211" s="2764"/>
      <c r="Z211" s="2412"/>
      <c r="AA211" s="2414"/>
      <c r="AB211" s="2803"/>
      <c r="AC211" s="2803"/>
      <c r="AD211" s="2803"/>
      <c r="AE211" s="2803"/>
      <c r="AF211" s="2803"/>
      <c r="AG211" s="2803"/>
      <c r="AH211" s="2803"/>
      <c r="AI211" s="2804"/>
    </row>
    <row s="34718" customFormat="1" customHeight="1" ht="15">
      <c r="D212" s="3149"/>
      <c r="E212" s="2825"/>
      <c r="F212" s="2825"/>
      <c r="G212" s="2805"/>
      <c r="H212" s="2226"/>
      <c r="I212" s="2808"/>
      <c r="J212" s="2779"/>
      <c r="K212" s="2236"/>
      <c r="L212" s="2764"/>
      <c r="M212" s="2764"/>
      <c r="N212" s="2216"/>
      <c r="O212" s="2764"/>
      <c r="P212" s="2779"/>
      <c r="Q212" s="2416"/>
      <c r="R212" s="2764"/>
      <c r="S212" s="2764"/>
      <c r="T212" s="2485"/>
      <c r="U212" s="2223"/>
      <c r="V212" s="2803"/>
      <c r="W212" s="2803"/>
      <c r="X212" s="2803"/>
      <c r="Y212" s="2803"/>
      <c r="Z212" s="2803"/>
      <c r="AA212" s="2803"/>
      <c r="AB212" s="2803"/>
      <c r="AC212" s="2803"/>
      <c r="AD212" s="2803"/>
      <c r="AE212" s="2803"/>
      <c r="AF212" s="2803"/>
      <c r="AG212" s="2803"/>
      <c r="AH212" s="2803"/>
      <c r="AI212" s="2804"/>
    </row>
    <row s="34718" customFormat="1" customHeight="1" ht="11.25">
      <c r="D213" s="3149"/>
      <c r="E213" s="2825"/>
      <c r="F213" s="2825"/>
      <c r="G213" s="2805"/>
      <c r="H213" s="2227"/>
      <c r="I213" s="2808"/>
      <c r="J213" s="2779"/>
      <c r="K213" s="2236"/>
      <c r="L213" s="2764"/>
      <c r="M213" s="2764"/>
      <c r="N213" s="2414"/>
      <c r="O213" s="2414"/>
      <c r="P213" s="2803"/>
      <c r="Q213" s="2803"/>
      <c r="R213" s="2803"/>
      <c r="S213" s="2803"/>
      <c r="T213" s="2803"/>
      <c r="U213" s="2803"/>
      <c r="V213" s="2803"/>
      <c r="W213" s="2803"/>
      <c r="X213" s="2803"/>
      <c r="Y213" s="2803"/>
      <c r="Z213" s="2803"/>
      <c r="AA213" s="2803"/>
      <c r="AB213" s="2803"/>
      <c r="AC213" s="2803"/>
      <c r="AD213" s="2803"/>
      <c r="AE213" s="2803"/>
      <c r="AF213" s="2803"/>
      <c r="AG213" s="2803"/>
      <c r="AH213" s="2803"/>
      <c r="AI213" s="2804"/>
    </row>
    <row s="34991" customFormat="1" customHeight="1" ht="11.25">
      <c r="D214" s="3149"/>
      <c r="E214" s="2825"/>
      <c r="F214" s="2825"/>
      <c r="G214" s="2810"/>
      <c r="H214" s="2224"/>
      <c r="I214" s="2228"/>
      <c r="J214" s="2813"/>
      <c r="K214" s="2813"/>
      <c r="L214" s="2813"/>
      <c r="M214" s="2813"/>
      <c r="N214" s="2813"/>
      <c r="O214" s="2813"/>
      <c r="P214" s="2813"/>
      <c r="Q214" s="2813"/>
      <c r="R214" s="2813"/>
      <c r="S214" s="2813"/>
      <c r="T214" s="2813"/>
      <c r="U214" s="2813"/>
      <c r="V214" s="2813"/>
      <c r="W214" s="2813"/>
      <c r="X214" s="2813"/>
      <c r="Y214" s="2813"/>
      <c r="Z214" s="2813"/>
      <c r="AA214" s="2813"/>
      <c r="AB214" s="2813"/>
      <c r="AC214" s="2813"/>
      <c r="AD214" s="2813"/>
      <c r="AE214" s="2813"/>
      <c r="AF214" s="2813"/>
      <c r="AG214" s="2813"/>
      <c r="AH214" s="2813"/>
      <c r="AI214" s="2814"/>
      <c r="BK214" s="2200"/>
    </row>
    <row customHeight="1" ht="17.25">
      <c r="A215" s="2476"/>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E291A2-7305-1DF1-E5AB-B1642B9E586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37684" width="43.140625"/>
    <col min="2" max="2" style="37684" width="43.140625" hidden="1"/>
    <col min="3" max="3" style="37684" width="43.140625"/>
    <col min="4" max="5" style="37684" width="36.421875" customWidth="1"/>
    <col min="6" max="8" style="37685" width="36.421875" customWidth="1"/>
  </cols>
  <sheetData>
    <row customHeight="1" ht="9">
      <c r="A1" s="1472" t="s">
        <v>2126</v>
      </c>
      <c r="B1" s="1472"/>
      <c r="C1" s="1608" t="s">
        <v>2127</v>
      </c>
      <c r="D1" s="1606" t="s">
        <v>829</v>
      </c>
      <c r="E1" s="1606" t="s">
        <v>875</v>
      </c>
      <c r="F1" s="1606" t="s">
        <v>928</v>
      </c>
      <c r="G1" s="1606" t="s">
        <v>915</v>
      </c>
      <c r="H1" s="1606" t="s">
        <v>1799</v>
      </c>
    </row>
    <row customHeight="1" ht="9">
      <c r="A2" s="1609" t="s">
        <v>2128</v>
      </c>
      <c r="B2" s="1609"/>
      <c r="C2" s="1610" t="str">
        <f>INDEX(TEMPLATE_NUMBER_FORM_LIST,MATCH(TEMPLATE_SPHERE,TEMPLATE_SPHERE_LIST,0))</f>
        <v>16</v>
      </c>
      <c r="D2" s="1609" t="s">
        <v>1648</v>
      </c>
      <c r="E2" s="1609" t="s">
        <v>169</v>
      </c>
      <c r="F2" s="1611" t="s">
        <v>169</v>
      </c>
      <c r="G2" s="1609" t="s">
        <v>169</v>
      </c>
      <c r="H2" s="1612"/>
    </row>
    <row customHeight="1" ht="63">
      <c r="A3" s="1472"/>
      <c r="B3" s="1472" t="s">
        <v>118</v>
      </c>
      <c r="C3" s="1610"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610" t="s">
        <v>2129</v>
      </c>
      <c r="E3" s="161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611"/>
      <c r="G3" s="1612"/>
      <c r="H3" s="1472"/>
    </row>
    <row customHeight="1" ht="243">
      <c r="A4" s="1472" t="s">
        <v>2130</v>
      </c>
      <c r="B4" s="1472" t="s">
        <v>102</v>
      </c>
      <c r="C4" s="1610"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609" t="s">
        <v>2131</v>
      </c>
      <c r="E4" s="161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609"/>
      <c r="G4" s="1609"/>
      <c r="H4" s="1472" t="s">
        <v>2132</v>
      </c>
    </row>
    <row customHeight="1" ht="117">
      <c r="A5" s="1472" t="s">
        <v>2133</v>
      </c>
      <c r="B5" s="1472" t="s">
        <v>90</v>
      </c>
      <c r="C5" s="1610"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472" t="s">
        <v>2134</v>
      </c>
      <c r="E5" s="14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612"/>
      <c r="G5" s="1612"/>
      <c r="H5" s="1472" t="s">
        <v>2135</v>
      </c>
    </row>
    <row customHeight="1" ht="90">
      <c r="A6" s="1472" t="s">
        <v>2136</v>
      </c>
      <c r="B6" s="1472" t="s">
        <v>91</v>
      </c>
      <c r="C6" s="1610"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14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4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472"/>
      <c r="G6" s="1472"/>
      <c r="H6" s="1612"/>
    </row>
    <row customHeight="1" ht="45">
      <c r="A7" s="1472" t="s">
        <v>2137</v>
      </c>
      <c r="B7" s="1472" t="s">
        <v>119</v>
      </c>
      <c r="C7" s="1610" t="str">
        <f>IF(TEMPLATE_SPHERE="HEAT",D7,E7)</f>
        <v>Форма 11. Информация о расходах на капитальный и текущий ремонт основных средств</v>
      </c>
      <c r="D7" s="1472" t="s">
        <v>2138</v>
      </c>
      <c r="E7" s="1472" t="s">
        <v>2139</v>
      </c>
      <c r="F7" s="1612"/>
      <c r="G7" s="1612"/>
      <c r="H7" s="1612"/>
    </row>
    <row customHeight="1" ht="108">
      <c r="A8" s="1472" t="s">
        <v>2140</v>
      </c>
      <c r="B8" s="1472" t="s">
        <v>92</v>
      </c>
      <c r="C8" s="1610"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472" t="s">
        <v>1337</v>
      </c>
      <c r="E8" s="1472" t="s">
        <v>2141</v>
      </c>
      <c r="F8" s="1612"/>
      <c r="G8" s="1612"/>
      <c r="H8" s="1612"/>
    </row>
    <row customHeight="1" ht="99">
      <c r="A9" s="1472" t="s">
        <v>2142</v>
      </c>
      <c r="B9" s="1472"/>
      <c r="C9" s="1472" t="s">
        <v>2143</v>
      </c>
      <c r="D9" s="1472"/>
      <c r="E9" s="1472"/>
      <c r="F9" s="1612"/>
      <c r="G9" s="1612"/>
      <c r="H9" s="1612"/>
    </row>
    <row customHeight="1" ht="126">
      <c r="A10" s="1472" t="s">
        <v>2144</v>
      </c>
      <c r="B10" s="1472"/>
      <c r="C10" s="1472" t="s">
        <v>2145</v>
      </c>
      <c r="D10" s="1472"/>
      <c r="E10" s="1472"/>
      <c r="F10" s="1612"/>
      <c r="G10" s="1612"/>
      <c r="H10" s="1612"/>
    </row>
    <row customHeight="1" ht="108">
      <c r="A11" s="1472" t="s">
        <v>2146</v>
      </c>
      <c r="B11" s="1472"/>
      <c r="C11" s="1472" t="s">
        <v>2147</v>
      </c>
      <c r="D11" s="1472"/>
      <c r="E11" s="1472"/>
      <c r="F11" s="1612"/>
      <c r="G11" s="1612"/>
      <c r="H11" s="1612"/>
    </row>
    <row customHeight="1" ht="54">
      <c r="A12" s="1472" t="s">
        <v>2148</v>
      </c>
      <c r="B12" s="1472"/>
      <c r="C12" s="1472" t="s">
        <v>2149</v>
      </c>
      <c r="D12" s="1472"/>
      <c r="E12" s="1472"/>
      <c r="F12" s="1612"/>
      <c r="G12" s="1612"/>
      <c r="H12" s="1612"/>
    </row>
    <row customHeight="1" ht="45">
      <c r="A13" s="1472" t="s">
        <v>2150</v>
      </c>
      <c r="B13" s="1472"/>
      <c r="C13" s="1472" t="s">
        <v>2151</v>
      </c>
      <c r="D13" s="1472"/>
      <c r="E13" s="1472"/>
      <c r="F13" s="1612"/>
      <c r="G13" s="1612"/>
      <c r="H13" s="1612"/>
    </row>
    <row customHeight="1" ht="117">
      <c r="A14" s="1472" t="s">
        <v>2152</v>
      </c>
      <c r="B14" s="1472"/>
      <c r="C14" s="1472" t="s">
        <v>2153</v>
      </c>
      <c r="D14" s="1472"/>
      <c r="E14" s="1472"/>
      <c r="F14" s="1612"/>
      <c r="G14" s="1612"/>
      <c r="H14" s="1612"/>
    </row>
    <row customHeight="1" ht="117">
      <c r="A15" s="1472" t="s">
        <v>2154</v>
      </c>
      <c r="B15" s="1472"/>
      <c r="C15" s="1472" t="s">
        <v>2155</v>
      </c>
      <c r="D15" s="1472"/>
      <c r="E15" s="1472"/>
      <c r="F15" s="1612"/>
      <c r="G15" s="1612"/>
      <c r="H15" s="1612"/>
    </row>
    <row customHeight="1" ht="63">
      <c r="A16" s="1472" t="s">
        <v>2156</v>
      </c>
      <c r="B16" s="1472"/>
      <c r="C16" s="1472" t="s">
        <v>2157</v>
      </c>
      <c r="D16" s="1472"/>
      <c r="E16" s="1472"/>
      <c r="F16" s="1612"/>
      <c r="G16" s="1612"/>
      <c r="H16" s="1612"/>
    </row>
    <row customHeight="1" ht="54">
      <c r="A17" s="1472" t="s">
        <v>2158</v>
      </c>
      <c r="B17" s="1472"/>
      <c r="C17" s="1610" t="s">
        <v>2159</v>
      </c>
      <c r="D17" s="1472"/>
      <c r="E17" s="1472"/>
      <c r="F17" s="1612"/>
      <c r="G17" s="1612"/>
      <c r="H17" s="1612"/>
    </row>
    <row customHeight="1" ht="27">
      <c r="A18" s="1472" t="s">
        <v>2160</v>
      </c>
      <c r="B18" s="1472"/>
      <c r="C18" s="1610" t="s">
        <v>2161</v>
      </c>
      <c r="D18" s="1472"/>
      <c r="E18" s="1472"/>
      <c r="F18" s="1612"/>
      <c r="G18" s="1612"/>
      <c r="H18" s="1612"/>
    </row>
    <row customHeight="1" ht="54">
      <c r="A19" s="1472" t="s">
        <v>2162</v>
      </c>
      <c r="B19" s="1472"/>
      <c r="C19" s="1610" t="s">
        <v>2163</v>
      </c>
      <c r="D19" s="1472"/>
      <c r="E19" s="1472"/>
      <c r="F19" s="1612"/>
      <c r="G19" s="1612"/>
      <c r="H19" s="1612"/>
    </row>
    <row customHeight="1" ht="36">
      <c r="A20" s="1472" t="s">
        <v>2164</v>
      </c>
      <c r="B20" s="1472"/>
      <c r="C20" s="1610" t="s">
        <v>2165</v>
      </c>
      <c r="D20" s="1472"/>
      <c r="E20" s="1472"/>
      <c r="F20" s="1612"/>
      <c r="G20" s="1612"/>
      <c r="H20" s="1612"/>
    </row>
    <row customHeight="1" ht="36">
      <c r="A21" s="1472" t="s">
        <v>2166</v>
      </c>
      <c r="B21" s="1472"/>
      <c r="C21" s="1610" t="s">
        <v>2167</v>
      </c>
      <c r="D21" s="1472"/>
      <c r="E21" s="1472"/>
      <c r="F21" s="1612"/>
      <c r="G21" s="1612"/>
      <c r="H21" s="1612"/>
    </row>
    <row customHeight="1" ht="27">
      <c r="A22" s="1472" t="s">
        <v>2168</v>
      </c>
      <c r="B22" s="1472"/>
      <c r="C22" s="1610" t="s">
        <v>2169</v>
      </c>
      <c r="D22" s="1472"/>
      <c r="E22" s="1472"/>
      <c r="F22" s="1612"/>
      <c r="G22" s="1612"/>
      <c r="H22" s="1612"/>
    </row>
    <row customHeight="1" ht="36">
      <c r="A23" s="1472" t="s">
        <v>2170</v>
      </c>
      <c r="B23" s="1472"/>
      <c r="C23" s="1610" t="s">
        <v>2171</v>
      </c>
      <c r="D23" s="1472"/>
      <c r="E23" s="1472"/>
      <c r="F23" s="1612"/>
      <c r="G23" s="1612"/>
      <c r="H23" s="1612"/>
    </row>
    <row customHeight="1" ht="28.5">
      <c r="A24" s="1472" t="s">
        <v>2172</v>
      </c>
      <c r="B24" s="1472"/>
      <c r="C24" s="1610" t="s">
        <v>2173</v>
      </c>
      <c r="D24" s="1472"/>
      <c r="E24" s="1472"/>
      <c r="F24" s="1612"/>
      <c r="G24" s="1612"/>
      <c r="H24" s="1612"/>
    </row>
    <row customHeight="1" ht="36">
      <c r="A25" s="1472" t="s">
        <v>2174</v>
      </c>
      <c r="B25" s="1472"/>
      <c r="C25" s="1610" t="s">
        <v>2175</v>
      </c>
      <c r="D25" s="1472"/>
      <c r="E25" s="1472"/>
      <c r="F25" s="1612"/>
      <c r="G25" s="1612"/>
      <c r="H25" s="1612"/>
    </row>
    <row customHeight="1" ht="27">
      <c r="A26" s="1472" t="s">
        <v>2176</v>
      </c>
      <c r="B26" s="1472"/>
      <c r="C26" s="1610" t="s">
        <v>2177</v>
      </c>
      <c r="D26" s="1472"/>
      <c r="E26" s="1472"/>
      <c r="F26" s="1612"/>
      <c r="G26" s="1612"/>
      <c r="H26" s="1612"/>
    </row>
    <row customHeight="1" ht="36">
      <c r="A27" s="1472" t="s">
        <v>2178</v>
      </c>
      <c r="B27" s="1472"/>
      <c r="C27" s="1610" t="s">
        <v>2179</v>
      </c>
      <c r="D27" s="1472"/>
      <c r="E27" s="1472"/>
      <c r="F27" s="1612"/>
      <c r="G27" s="1612"/>
      <c r="H27" s="1612"/>
    </row>
    <row customHeight="1" ht="28.5">
      <c r="A28" s="1472" t="s">
        <v>2180</v>
      </c>
      <c r="B28" s="1472"/>
      <c r="C28" s="1610" t="s">
        <v>2181</v>
      </c>
      <c r="D28" s="1472"/>
      <c r="E28" s="1472"/>
      <c r="F28" s="1612"/>
      <c r="G28" s="1612"/>
      <c r="H28" s="1612"/>
    </row>
    <row customHeight="1" ht="126">
      <c r="A29" s="1472" t="s">
        <v>2182</v>
      </c>
      <c r="B29" s="1472" t="s">
        <v>1750</v>
      </c>
      <c r="C29" s="1610"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472" t="s">
        <v>2183</v>
      </c>
      <c r="E29" s="14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612"/>
      <c r="G29" s="1612"/>
      <c r="H29" s="1472" t="s">
        <v>2184</v>
      </c>
    </row>
    <row customHeight="1" ht="36">
      <c r="A30" s="1472" t="s">
        <v>2185</v>
      </c>
      <c r="B30" s="1472"/>
      <c r="C30" s="1610"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472" t="s">
        <v>2186</v>
      </c>
      <c r="E30" s="14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612"/>
      <c r="G30" s="1612"/>
      <c r="H30" s="1612"/>
    </row>
    <row customHeight="1" ht="54">
      <c r="A31" s="1472" t="s">
        <v>2187</v>
      </c>
      <c r="B31" s="1472"/>
      <c r="C31" s="1610"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472" t="s">
        <v>2188</v>
      </c>
      <c r="E31" s="14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612"/>
      <c r="G31" s="1612"/>
      <c r="H31" s="1612"/>
    </row>
    <row customHeight="1" ht="198">
      <c r="A32" s="1472" t="s">
        <v>2189</v>
      </c>
      <c r="B32" s="1472"/>
      <c r="C32" s="1610"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472" t="s">
        <v>2190</v>
      </c>
      <c r="E32" s="14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612"/>
      <c r="G32" s="1612"/>
      <c r="H32" s="1472" t="s">
        <v>2191</v>
      </c>
    </row>
    <row customHeight="1" ht="9">
      <c r="A33" s="1472"/>
      <c r="B33" s="1472"/>
      <c r="C33" s="1610"/>
      <c r="D33" s="1472"/>
      <c r="E33" s="1472"/>
      <c r="F33" s="1612"/>
      <c r="G33" s="1612"/>
      <c r="H33" s="1612"/>
    </row>
    <row customHeight="1" ht="9">
      <c r="A34" s="1472"/>
      <c r="B34" s="1472" t="s">
        <v>1686</v>
      </c>
      <c r="C34" s="1610">
        <f>INDEX(TEMPLATE_NAME_FORM_LIST,B34,MATCH(TEMPLATE_SPHERE,TEMPLATE_SPHERE_LIST,0))</f>
        <v>0</v>
      </c>
      <c r="D34" s="1472"/>
      <c r="E34" s="1472"/>
      <c r="F34" s="1612"/>
      <c r="G34" s="1612"/>
      <c r="H34" s="1612"/>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666B11B-FA57-A891-77ED-53FC707DB3BC}"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37684" width="9.140625"/>
    <col min="3" max="7" style="37728" width="8.00390625" customWidth="1"/>
    <col min="8" max="12" style="37728" width="8.57421875" customWidth="1"/>
    <col min="13" max="14" style="37728" width="27.7109375" customWidth="1"/>
    <col min="15" max="19" style="37728" width="5.140625" customWidth="1"/>
    <col min="20" max="24" style="37728" width="27.7109375" customWidth="1"/>
    <col min="25" max="25" style="37729" width="1.8515625" customWidth="1"/>
    <col min="26" max="26" style="37684" width="27.7109375" customWidth="1"/>
    <col min="27" max="27" style="37730" width="27.7109375" customWidth="1"/>
    <col min="28" max="29" style="37684" width="27.7109375" customWidth="1"/>
    <col min="30" max="30" style="37684" width="3.8515625" customWidth="1"/>
    <col min="31" max="34" style="37684" width="9.140625"/>
  </cols>
  <sheetData>
    <row s="37686" customFormat="1" customHeight="1" ht="18">
      <c r="A1" s="1524"/>
      <c r="B1" s="1524"/>
      <c r="C1" s="1524" t="s">
        <v>2192</v>
      </c>
      <c r="D1" s="1524"/>
      <c r="E1" s="1524"/>
      <c r="F1" s="1524"/>
      <c r="G1" s="1524"/>
      <c r="H1" s="1524" t="s">
        <v>2193</v>
      </c>
      <c r="I1" s="1524"/>
      <c r="J1" s="1524"/>
      <c r="K1" s="1524"/>
      <c r="L1" s="1524"/>
      <c r="M1" s="1524" t="s">
        <v>2194</v>
      </c>
      <c r="N1" s="1524" t="s">
        <v>2195</v>
      </c>
      <c r="O1" s="3218" t="s">
        <v>2196</v>
      </c>
      <c r="P1" s="3218"/>
      <c r="Q1" s="3218"/>
      <c r="R1" s="3218"/>
      <c r="S1" s="3218"/>
      <c r="T1" s="3218" t="s">
        <v>2194</v>
      </c>
      <c r="U1" s="3218"/>
      <c r="V1" s="3218"/>
      <c r="W1" s="3218"/>
      <c r="X1" s="3218"/>
      <c r="Y1" s="1625"/>
      <c r="Z1" s="3218" t="s">
        <v>2197</v>
      </c>
      <c r="AA1" s="3218"/>
      <c r="AB1" s="3218"/>
      <c r="AC1" s="3218"/>
      <c r="AD1" s="3218"/>
    </row>
    <row customHeight="1" ht="18">
      <c r="A2" s="1472"/>
      <c r="B2" s="1472"/>
      <c r="C2" s="1467" t="s">
        <v>829</v>
      </c>
      <c r="D2" s="1467" t="s">
        <v>875</v>
      </c>
      <c r="E2" s="1467" t="s">
        <v>928</v>
      </c>
      <c r="F2" s="1467" t="s">
        <v>915</v>
      </c>
      <c r="G2" s="1467" t="s">
        <v>1799</v>
      </c>
      <c r="H2" s="1469"/>
      <c r="I2" s="1469"/>
      <c r="J2" s="1469"/>
      <c r="K2" s="1469"/>
      <c r="L2" s="1469"/>
      <c r="M2" s="1469"/>
      <c r="N2" s="1469"/>
      <c r="O2" s="1467" t="s">
        <v>829</v>
      </c>
      <c r="P2" s="1467" t="s">
        <v>875</v>
      </c>
      <c r="Q2" s="1467" t="s">
        <v>915</v>
      </c>
      <c r="R2" s="1467" t="s">
        <v>928</v>
      </c>
      <c r="S2" s="1467" t="s">
        <v>1799</v>
      </c>
      <c r="T2" s="1467" t="s">
        <v>829</v>
      </c>
      <c r="U2" s="1467" t="s">
        <v>875</v>
      </c>
      <c r="V2" s="1467" t="s">
        <v>915</v>
      </c>
      <c r="W2" s="1467" t="s">
        <v>928</v>
      </c>
      <c r="X2" s="1467" t="s">
        <v>1799</v>
      </c>
      <c r="Y2" s="1467"/>
      <c r="Z2" s="1467" t="s">
        <v>829</v>
      </c>
      <c r="AA2" s="1476" t="s">
        <v>875</v>
      </c>
      <c r="AB2" s="1467" t="s">
        <v>915</v>
      </c>
      <c r="AC2" s="1467" t="s">
        <v>928</v>
      </c>
      <c r="AD2" s="1467" t="s">
        <v>1799</v>
      </c>
    </row>
    <row customHeight="1" ht="162">
      <c r="A3" s="1471" t="s">
        <v>27</v>
      </c>
      <c r="B3" s="1471"/>
      <c r="C3" s="3222" t="s">
        <v>2198</v>
      </c>
      <c r="D3" s="3223"/>
      <c r="E3" s="3223"/>
      <c r="F3" s="3224"/>
      <c r="G3" s="1469"/>
      <c r="H3" s="1469"/>
      <c r="I3" s="1469"/>
      <c r="J3" s="1469"/>
      <c r="K3" s="1469"/>
      <c r="L3" s="1469"/>
      <c r="M3" s="1469"/>
      <c r="N3" s="14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469"/>
      <c r="P3" s="1469"/>
      <c r="Q3" s="1469"/>
      <c r="R3" s="1469"/>
      <c r="S3" s="1469"/>
      <c r="T3" s="1469"/>
      <c r="U3" s="1469"/>
      <c r="V3" s="1469"/>
      <c r="W3" s="1469"/>
      <c r="X3" s="1469"/>
      <c r="Y3" s="1626"/>
      <c r="Z3" s="1472" t="s">
        <v>2199</v>
      </c>
      <c r="AA3" s="1469" t="s">
        <v>2200</v>
      </c>
      <c r="AB3" s="1472" t="s">
        <v>2201</v>
      </c>
      <c r="AC3" s="1472" t="s">
        <v>2202</v>
      </c>
      <c r="AD3" s="1472"/>
      <c r="AG3" s="1472"/>
      <c r="AH3" s="1472"/>
    </row>
    <row customHeight="1" ht="9">
      <c r="A4" s="1471"/>
      <c r="B4" s="1471"/>
      <c r="C4" s="1469"/>
      <c r="D4" s="1469"/>
      <c r="E4" s="1469"/>
      <c r="F4" s="1469"/>
      <c r="G4" s="1469"/>
      <c r="H4" s="1469"/>
      <c r="I4" s="1469"/>
      <c r="J4" s="1469"/>
      <c r="K4" s="1469"/>
      <c r="L4" s="1469"/>
      <c r="M4" s="1469"/>
      <c r="N4" s="1469"/>
      <c r="O4" s="1469"/>
      <c r="P4" s="1469"/>
      <c r="Q4" s="1469"/>
      <c r="R4" s="1469"/>
      <c r="S4" s="1469"/>
      <c r="T4" s="1469"/>
      <c r="U4" s="1469"/>
      <c r="V4" s="1469"/>
      <c r="W4" s="1469"/>
      <c r="X4" s="1469"/>
      <c r="Y4" s="1626"/>
      <c r="Z4" s="1472"/>
      <c r="AA4" s="1475"/>
      <c r="AB4" s="1472"/>
      <c r="AC4" s="1472"/>
      <c r="AD4" s="1472"/>
    </row>
    <row customHeight="1" ht="9">
      <c r="A5" s="1471"/>
      <c r="B5" s="1471"/>
      <c r="C5" s="1469"/>
      <c r="D5" s="1469"/>
      <c r="E5" s="1469"/>
      <c r="F5" s="1469"/>
      <c r="G5" s="1469"/>
      <c r="H5" s="1469"/>
      <c r="I5" s="1469"/>
      <c r="J5" s="1469"/>
      <c r="K5" s="1469"/>
      <c r="L5" s="1469"/>
      <c r="M5" s="1469"/>
      <c r="N5" s="1469"/>
      <c r="O5" s="1469"/>
      <c r="P5" s="1469"/>
      <c r="Q5" s="1469"/>
      <c r="R5" s="1469"/>
      <c r="S5" s="1469"/>
      <c r="T5" s="1469"/>
      <c r="U5" s="1469"/>
      <c r="V5" s="1469"/>
      <c r="W5" s="1469"/>
      <c r="X5" s="1469"/>
      <c r="Y5" s="1626"/>
      <c r="Z5" s="1472"/>
      <c r="AA5" s="1475"/>
      <c r="AB5" s="1472"/>
      <c r="AC5" s="1472"/>
      <c r="AD5" s="1472"/>
    </row>
    <row customHeight="1" ht="9">
      <c r="A6" s="1471"/>
      <c r="B6" s="1471"/>
      <c r="C6" s="1469"/>
      <c r="D6" s="1469"/>
      <c r="E6" s="1469"/>
      <c r="F6" s="1469"/>
      <c r="G6" s="1469"/>
      <c r="H6" s="1469"/>
      <c r="I6" s="1469"/>
      <c r="J6" s="1469"/>
      <c r="K6" s="1469"/>
      <c r="L6" s="1469"/>
      <c r="M6" s="1469"/>
      <c r="N6" s="1469"/>
      <c r="O6" s="1469"/>
      <c r="P6" s="1469"/>
      <c r="Q6" s="1469"/>
      <c r="R6" s="1469"/>
      <c r="S6" s="1469"/>
      <c r="T6" s="1469"/>
      <c r="U6" s="1469"/>
      <c r="V6" s="1469"/>
      <c r="W6" s="1469"/>
      <c r="X6" s="1469"/>
      <c r="Y6" s="1626"/>
      <c r="Z6" s="1472"/>
      <c r="AA6" s="1475"/>
      <c r="AB6" s="1472"/>
      <c r="AC6" s="1472"/>
      <c r="AD6" s="1472"/>
    </row>
    <row customHeight="1" ht="9">
      <c r="A7" s="1471"/>
      <c r="B7" s="1471"/>
      <c r="C7" s="1469"/>
      <c r="D7" s="1469"/>
      <c r="E7" s="1469"/>
      <c r="F7" s="1469"/>
      <c r="G7" s="1469"/>
      <c r="H7" s="1469"/>
      <c r="I7" s="1469"/>
      <c r="J7" s="1469"/>
      <c r="K7" s="1469"/>
      <c r="L7" s="1469"/>
      <c r="M7" s="1469"/>
      <c r="N7" s="1469"/>
      <c r="O7" s="1469"/>
      <c r="P7" s="1469"/>
      <c r="Q7" s="1469"/>
      <c r="R7" s="1469"/>
      <c r="S7" s="1469"/>
      <c r="T7" s="1469"/>
      <c r="U7" s="1469"/>
      <c r="V7" s="1469"/>
      <c r="W7" s="1469"/>
      <c r="X7" s="1469"/>
      <c r="Y7" s="1626"/>
      <c r="Z7" s="1472"/>
      <c r="AA7" s="1475"/>
      <c r="AB7" s="1472"/>
      <c r="AC7" s="1472"/>
      <c r="AD7" s="1472"/>
    </row>
    <row customHeight="1" ht="9">
      <c r="A8" s="1471"/>
      <c r="B8" s="1471"/>
      <c r="C8" s="1469"/>
      <c r="D8" s="1469"/>
      <c r="E8" s="1469"/>
      <c r="F8" s="1469"/>
      <c r="G8" s="1469"/>
      <c r="H8" s="1469"/>
      <c r="I8" s="1469"/>
      <c r="J8" s="1469"/>
      <c r="K8" s="1469"/>
      <c r="L8" s="1469"/>
      <c r="M8" s="1469"/>
      <c r="N8" s="1469"/>
      <c r="O8" s="1469"/>
      <c r="P8" s="1469"/>
      <c r="Q8" s="1469"/>
      <c r="R8" s="1469"/>
      <c r="S8" s="1469"/>
      <c r="T8" s="1469"/>
      <c r="U8" s="1469"/>
      <c r="V8" s="1469"/>
      <c r="W8" s="1469"/>
      <c r="X8" s="1469"/>
      <c r="Y8" s="1626"/>
      <c r="Z8" s="1472"/>
      <c r="AA8" s="1475"/>
      <c r="AB8" s="1472"/>
      <c r="AC8" s="1472"/>
      <c r="AD8" s="1472"/>
    </row>
    <row customHeight="1" ht="9">
      <c r="A9" s="1471"/>
      <c r="B9" s="1471"/>
      <c r="C9" s="1469"/>
      <c r="D9" s="1469"/>
      <c r="E9" s="1469"/>
      <c r="F9" s="1469"/>
      <c r="G9" s="1469"/>
      <c r="H9" s="1469"/>
      <c r="I9" s="1469"/>
      <c r="J9" s="1469"/>
      <c r="K9" s="1469"/>
      <c r="L9" s="1469"/>
      <c r="M9" s="1469"/>
      <c r="N9" s="1469"/>
      <c r="O9" s="1469"/>
      <c r="P9" s="1469"/>
      <c r="Q9" s="1469"/>
      <c r="R9" s="1469"/>
      <c r="S9" s="1469"/>
      <c r="T9" s="1469"/>
      <c r="U9" s="1469"/>
      <c r="V9" s="1469"/>
      <c r="W9" s="1469"/>
      <c r="X9" s="1469"/>
      <c r="Y9" s="1626"/>
      <c r="Z9" s="1472"/>
      <c r="AA9" s="1475"/>
      <c r="AB9" s="1472"/>
      <c r="AC9" s="1472"/>
      <c r="AD9" s="1472"/>
    </row>
    <row customHeight="1" ht="9">
      <c r="A10" s="1525"/>
      <c r="B10" s="1525"/>
      <c r="C10" s="1525"/>
      <c r="D10" s="1525"/>
      <c r="E10" s="1525"/>
      <c r="F10" s="1525"/>
      <c r="G10" s="1525"/>
      <c r="H10" s="1525"/>
      <c r="I10" s="1525"/>
      <c r="J10" s="1525"/>
      <c r="K10" s="1525"/>
      <c r="L10" s="1525"/>
      <c r="M10" s="1525"/>
      <c r="N10" s="1525"/>
      <c r="O10" s="1525"/>
      <c r="P10" s="1525"/>
      <c r="Q10" s="1525"/>
      <c r="R10" s="1525"/>
      <c r="S10" s="1525"/>
      <c r="T10" s="1525"/>
      <c r="U10" s="1525"/>
      <c r="V10" s="1525"/>
      <c r="W10" s="1525"/>
      <c r="X10" s="1525"/>
      <c r="Y10" s="1525"/>
      <c r="Z10" s="1525"/>
      <c r="AA10" s="1525"/>
      <c r="AB10" s="1525"/>
      <c r="AC10" s="1525"/>
      <c r="AD10" s="1525"/>
    </row>
    <row customHeight="1" ht="45">
      <c r="A11" s="3219" t="s">
        <v>33</v>
      </c>
      <c r="B11" s="1525">
        <v>1</v>
      </c>
      <c r="C11" s="3225" t="s">
        <v>1737</v>
      </c>
      <c r="D11" s="3225" t="s">
        <v>1733</v>
      </c>
      <c r="E11" s="3225" t="s">
        <v>1831</v>
      </c>
      <c r="F11" s="3225" t="s">
        <v>2203</v>
      </c>
      <c r="G11" s="3225"/>
      <c r="H11" s="1524" t="s">
        <v>2204</v>
      </c>
      <c r="I11" s="1524"/>
      <c r="J11" s="1524"/>
      <c r="K11" s="1524"/>
      <c r="L11" s="1524"/>
      <c r="M11" s="1470" t="str">
        <f>IF(TEMPLATE_SPHERE="HEAT",T11,U11)</f>
        <v>Количество поданных заявок</v>
      </c>
      <c r="N11" s="1470"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469"/>
      <c r="P11" s="1469"/>
      <c r="Q11" s="1469"/>
      <c r="R11" s="1469"/>
      <c r="S11" s="1469"/>
      <c r="T11" s="1469" t="s">
        <v>2205</v>
      </c>
      <c r="U11" s="1469" t="s">
        <v>2206</v>
      </c>
      <c r="V11" s="1469"/>
      <c r="W11" s="1469"/>
      <c r="X11" s="1469"/>
      <c r="Y11" s="1626"/>
      <c r="Z11" s="1472" t="s">
        <v>2207</v>
      </c>
      <c r="AA11" s="14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472"/>
      <c r="AC11" s="1472"/>
      <c r="AD11" s="1472"/>
    </row>
    <row customHeight="1" ht="45">
      <c r="A12" s="3219"/>
      <c r="B12" s="1525">
        <v>2</v>
      </c>
      <c r="C12" s="3226"/>
      <c r="D12" s="3226"/>
      <c r="E12" s="3226"/>
      <c r="F12" s="3226"/>
      <c r="G12" s="3226"/>
      <c r="H12" s="1524" t="s">
        <v>2208</v>
      </c>
      <c r="I12" s="1524"/>
      <c r="J12" s="1524"/>
      <c r="K12" s="1524"/>
      <c r="L12" s="1524"/>
      <c r="M12" s="1470" t="str">
        <f>IF(TEMPLATE_SPHERE="HEAT",T12,U12)</f>
        <v>Количество рассмотренных заявок</v>
      </c>
      <c r="N12" s="1470"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469"/>
      <c r="P12" s="1469"/>
      <c r="Q12" s="1469"/>
      <c r="R12" s="1469"/>
      <c r="S12" s="1469"/>
      <c r="T12" s="1469" t="s">
        <v>2209</v>
      </c>
      <c r="U12" s="1469" t="s">
        <v>2210</v>
      </c>
      <c r="V12" s="1469"/>
      <c r="W12" s="1469"/>
      <c r="X12" s="1469"/>
      <c r="Y12" s="1626"/>
      <c r="Z12" s="1472" t="s">
        <v>2211</v>
      </c>
      <c r="AA12" s="14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472"/>
      <c r="AC12" s="1472"/>
      <c r="AD12" s="1472"/>
    </row>
    <row customHeight="1" ht="72">
      <c r="A13" s="3219"/>
      <c r="B13" s="1525">
        <v>3</v>
      </c>
      <c r="C13" s="3226"/>
      <c r="D13" s="3226"/>
      <c r="E13" s="3226"/>
      <c r="F13" s="3226"/>
      <c r="G13" s="3226"/>
      <c r="H13" s="3218" t="s">
        <v>2212</v>
      </c>
      <c r="I13" s="1524"/>
      <c r="J13" s="1524"/>
      <c r="K13" s="1524"/>
      <c r="L13" s="1524"/>
      <c r="M13" s="14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470" t="str">
        <f>IF(TEMPLATE_SPHERE="HEAT",Z13,AA13)</f>
        <v>Указывается количество заявок с решением об отказе в течение отчетного квартала.</v>
      </c>
      <c r="O13" s="1469"/>
      <c r="P13" s="1470"/>
      <c r="Q13" s="1470"/>
      <c r="R13" s="1470"/>
      <c r="S13" s="1469"/>
      <c r="T13" s="1469" t="s">
        <v>2213</v>
      </c>
      <c r="U13" s="1470" t="s">
        <v>2214</v>
      </c>
      <c r="V13" s="1470"/>
      <c r="W13" s="1470"/>
      <c r="X13" s="1469"/>
      <c r="Y13" s="1626"/>
      <c r="Z13" s="1472" t="s">
        <v>2215</v>
      </c>
      <c r="AA13" s="14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472"/>
      <c r="AC13" s="1472"/>
      <c r="AD13" s="1472"/>
    </row>
    <row customHeight="1" ht="45">
      <c r="A14" s="3219"/>
      <c r="B14" s="1525">
        <v>4</v>
      </c>
      <c r="C14" s="3226"/>
      <c r="D14" s="3226"/>
      <c r="E14" s="3226"/>
      <c r="F14" s="3226"/>
      <c r="G14" s="3226"/>
      <c r="H14" s="3218"/>
      <c r="I14" s="1527"/>
      <c r="J14" s="1527"/>
      <c r="K14" s="1527"/>
      <c r="L14" s="1527"/>
      <c r="M14" s="1473" t="str">
        <f>IF(TEMPLATE_SPHERE="HEAT",T14,U14)</f>
        <v>Причины отказа в заключении договора о подключении (технологическом присоединении) к системе теплоснабжения</v>
      </c>
      <c r="N14" s="147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469"/>
      <c r="P14" s="1470"/>
      <c r="Q14" s="1470"/>
      <c r="R14" s="1470"/>
      <c r="S14" s="1469"/>
      <c r="T14" s="1469" t="s">
        <v>2216</v>
      </c>
      <c r="U14" s="14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470"/>
      <c r="W14" s="1470"/>
      <c r="X14" s="1469"/>
      <c r="Y14" s="1626"/>
      <c r="Z14" s="1472" t="s">
        <v>2217</v>
      </c>
      <c r="AA14" s="1475" t="s">
        <v>2217</v>
      </c>
      <c r="AB14" s="1472"/>
      <c r="AC14" s="1472"/>
      <c r="AD14" s="1472"/>
    </row>
    <row customHeight="1" ht="108">
      <c r="A15" s="3219"/>
      <c r="B15" s="1525">
        <v>5</v>
      </c>
      <c r="C15" s="3226"/>
      <c r="D15" s="3226"/>
      <c r="E15" s="3226"/>
      <c r="F15" s="3226"/>
      <c r="G15" s="3226"/>
      <c r="H15" s="3220" t="s">
        <v>2218</v>
      </c>
      <c r="I15" s="1526"/>
      <c r="J15" s="1526"/>
      <c r="K15" s="1526"/>
      <c r="L15" s="1526"/>
      <c r="M15" s="1475" t="str">
        <f>IF(TEMPLATE_SPHERE="HEAT",T15,U15)</f>
        <v>Резерв мощности источников тепловой энергии, входящих в систему теплоснабжения, в течение одного квартала, в том числе:</v>
      </c>
      <c r="N15" s="1474"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469"/>
      <c r="P15" s="1470"/>
      <c r="Q15" s="1470"/>
      <c r="R15" s="1470"/>
      <c r="S15" s="1469"/>
      <c r="T15" s="1469" t="s">
        <v>2219</v>
      </c>
      <c r="U15" s="14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470"/>
      <c r="W15" s="1470"/>
      <c r="X15" s="1469"/>
      <c r="Y15" s="1626"/>
      <c r="Z15" s="1472" t="s">
        <v>2220</v>
      </c>
      <c r="AA15" s="14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472"/>
      <c r="AC15" s="1472"/>
      <c r="AD15" s="1472"/>
    </row>
    <row customHeight="1" ht="108">
      <c r="A16" s="1525"/>
      <c r="B16" s="1525">
        <v>6</v>
      </c>
      <c r="C16" s="3227"/>
      <c r="D16" s="3227"/>
      <c r="E16" s="3227"/>
      <c r="F16" s="3227"/>
      <c r="G16" s="3227"/>
      <c r="H16" s="3221"/>
      <c r="I16" s="1588"/>
      <c r="J16" s="1588"/>
      <c r="K16" s="1588"/>
      <c r="L16" s="1588"/>
      <c r="M16" s="1518"/>
      <c r="N16" s="1474"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469"/>
      <c r="P16" s="1470"/>
      <c r="Q16" s="1470"/>
      <c r="R16" s="1470"/>
      <c r="S16" s="1469"/>
      <c r="T16" s="1469"/>
      <c r="U16" s="1470"/>
      <c r="V16" s="1470"/>
      <c r="W16" s="1470"/>
      <c r="X16" s="1469"/>
      <c r="Y16" s="1626"/>
      <c r="Z16" s="1472" t="s">
        <v>2220</v>
      </c>
      <c r="AA16" s="14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472"/>
      <c r="AC16" s="1472"/>
      <c r="AD16" s="1472"/>
    </row>
    <row customHeight="1" ht="9">
      <c r="A17" s="1525"/>
      <c r="B17" s="1525"/>
      <c r="C17" s="1525">
        <v>22</v>
      </c>
      <c r="D17" s="1525">
        <v>21</v>
      </c>
      <c r="E17" s="1525">
        <v>42</v>
      </c>
      <c r="F17" s="1525">
        <v>63</v>
      </c>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c r="AD17" s="1525"/>
    </row>
    <row customHeight="1" ht="27">
      <c r="A18" s="1471" t="s">
        <v>1834</v>
      </c>
      <c r="B18" s="1525">
        <v>1</v>
      </c>
      <c r="C18" s="1469" t="s">
        <v>2204</v>
      </c>
      <c r="D18" s="1593" t="s">
        <v>2204</v>
      </c>
      <c r="E18" s="1469" t="s">
        <v>2204</v>
      </c>
      <c r="F18" s="1469" t="s">
        <v>2204</v>
      </c>
      <c r="G18" s="1469"/>
      <c r="H18" s="1628"/>
      <c r="I18" s="1631">
        <f>INDEX(TEMPLATE_NUMBER_POINT_FHD,B18,MATCH(TEMPLATE_SPHERE,TEMPLATE_SPHERE_LIST_FOR_NOTE,0))</f>
        <v>1</v>
      </c>
      <c r="J18" s="1631" t="str">
        <f>INDEX(TEMPLATE_DATA_POINT_FHD,B18,MATCH(TEMPLATE_SPHERE,TEMPLATE_SPHERE_LIST_FOR_NOTE,0))</f>
        <v>Выручка от регулируемого вида деятельности с распределением по видам деятельности</v>
      </c>
      <c r="K18" s="1631"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470">
        <f>IF(I18=0,"",I18)</f>
        <v>1</v>
      </c>
      <c r="M18" s="1470" t="str">
        <f>IF(J18=0,"",J18)</f>
        <v>Выручка от регулируемого вида деятельности с распределением по видам деятельности</v>
      </c>
      <c r="N18" s="1470" t="str">
        <f>IF(K18=0,"",K18)</f>
        <v>Указывается выручка от регулируемого вида деятельности с распределением по видам деятельности.</v>
      </c>
      <c r="O18" s="1583">
        <v>1</v>
      </c>
      <c r="P18" s="1583">
        <v>1</v>
      </c>
      <c r="Q18" s="1583">
        <v>1</v>
      </c>
      <c r="R18" s="1583">
        <v>1</v>
      </c>
      <c r="S18" s="1583"/>
      <c r="T18" s="1590" t="s">
        <v>2221</v>
      </c>
      <c r="U18" s="1472" t="s">
        <v>2222</v>
      </c>
      <c r="V18" s="1472" t="s">
        <v>2223</v>
      </c>
      <c r="W18" s="1472" t="s">
        <v>2224</v>
      </c>
      <c r="X18" s="1469"/>
      <c r="Y18" s="1626"/>
      <c r="Z18" s="1472" t="s">
        <v>2225</v>
      </c>
      <c r="AA18" s="1475" t="s">
        <v>2226</v>
      </c>
      <c r="AB18" s="1475" t="s">
        <v>2226</v>
      </c>
      <c r="AC18" s="1475" t="s">
        <v>2226</v>
      </c>
      <c r="AD18" s="1472"/>
    </row>
    <row customHeight="1" ht="36">
      <c r="A19" s="1471"/>
      <c r="B19" s="1525">
        <v>2</v>
      </c>
      <c r="C19" s="1469" t="s">
        <v>2208</v>
      </c>
      <c r="D19" s="1593" t="s">
        <v>2208</v>
      </c>
      <c r="E19" s="1469" t="s">
        <v>2208</v>
      </c>
      <c r="F19" s="1469" t="s">
        <v>2208</v>
      </c>
      <c r="G19" s="1469"/>
      <c r="H19" s="1628"/>
      <c r="I19" s="1631">
        <f>INDEX(TEMPLATE_NUMBER_POINT_FHD,B19,MATCH(TEMPLATE_SPHERE,TEMPLATE_SPHERE_LIST_FOR_NOTE,0))</f>
        <v>2</v>
      </c>
      <c r="J19" s="1631"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631" t="str">
        <f>INDEX(TEMPLATE_NOTE_POINT_FHD,B19,MATCH(TEMPLATE_SPHERE,TEMPLATE_SPHERE_LIST_FOR_NOTE,0))</f>
        <v>Указывается суммарная себестоимость производимых товаров.</v>
      </c>
      <c r="L19" s="1470">
        <f>IF(I19=0,"",I19)</f>
        <v>2</v>
      </c>
      <c r="M19" s="1470" t="str">
        <f>IF(J19=0,"",J19)</f>
        <v>Себестоимость производимых товаров (оказываемых услуг) по регулируемому виду деятельности, включая:</v>
      </c>
      <c r="N19" s="1470" t="str">
        <f>IF(K19=0,"",K19)</f>
        <v>Указывается суммарная себестоимость производимых товаров.</v>
      </c>
      <c r="O19" s="1583">
        <v>2</v>
      </c>
      <c r="P19" s="1583">
        <v>2</v>
      </c>
      <c r="Q19" s="1583">
        <v>2</v>
      </c>
      <c r="R19" s="1583">
        <v>2</v>
      </c>
      <c r="S19" s="1583"/>
      <c r="T19" s="1590" t="s">
        <v>2227</v>
      </c>
      <c r="U19" s="1472" t="s">
        <v>2228</v>
      </c>
      <c r="V19" s="1472" t="s">
        <v>2229</v>
      </c>
      <c r="W19" s="1472" t="s">
        <v>2230</v>
      </c>
      <c r="X19" s="1469"/>
      <c r="Y19" s="1626"/>
      <c r="Z19" s="1472" t="s">
        <v>2231</v>
      </c>
      <c r="AA19" s="1475" t="s">
        <v>2231</v>
      </c>
      <c r="AB19" s="1475" t="s">
        <v>2231</v>
      </c>
      <c r="AC19" s="1475" t="s">
        <v>2231</v>
      </c>
      <c r="AD19" s="1472"/>
    </row>
    <row customHeight="1" ht="27">
      <c r="A20" s="1471"/>
      <c r="B20" s="1525">
        <v>3</v>
      </c>
      <c r="C20" s="1469">
        <v>1</v>
      </c>
      <c r="D20" s="1593"/>
      <c r="E20" s="1469"/>
      <c r="F20" s="1469"/>
      <c r="G20" s="1469"/>
      <c r="H20" s="1628"/>
      <c r="I20" s="1631" t="str">
        <f>INDEX(TEMPLATE_NUMBER_POINT_FHD,B20,MATCH(TEMPLATE_SPHERE,TEMPLATE_SPHERE_LIST_FOR_NOTE,0))</f>
        <v>2.1</v>
      </c>
      <c r="J20" s="1631" t="str">
        <f>INDEX(TEMPLATE_DATA_POINT_FHD,B20,MATCH(TEMPLATE_SPHERE,TEMPLATE_SPHERE_LIST_FOR_NOTE,0))</f>
        <v>Расходы на приобретаемую тепловую энергию (мощность), теплоноситель</v>
      </c>
      <c r="K20" s="1631">
        <f>INDEX(TEMPLATE_NOTE_POINT_FHD,B20,MATCH(TEMPLATE_SPHERE,TEMPLATE_SPHERE_LIST_FOR_NOTE,0))</f>
        <v>0</v>
      </c>
      <c r="L20" s="1470" t="str">
        <f>IF(I20=0,"",I20)</f>
        <v>2.1</v>
      </c>
      <c r="M20" s="1470" t="str">
        <f>IF(J20=0,"",J20)</f>
        <v>Расходы на приобретаемую тепловую энергию (мощность), теплоноситель</v>
      </c>
      <c r="N20" s="1470" t="str">
        <f>IF(K20=0,"",K20)</f>
        <v/>
      </c>
      <c r="O20" s="1583" t="s">
        <v>730</v>
      </c>
      <c r="P20" s="1583" t="s">
        <v>730</v>
      </c>
      <c r="Q20" s="1583" t="s">
        <v>730</v>
      </c>
      <c r="R20" s="1583" t="s">
        <v>730</v>
      </c>
      <c r="S20" s="1583"/>
      <c r="T20" s="1590" t="s">
        <v>2232</v>
      </c>
      <c r="U20" s="1472" t="s">
        <v>2233</v>
      </c>
      <c r="V20" s="1472" t="s">
        <v>2234</v>
      </c>
      <c r="W20" s="1472" t="s">
        <v>2235</v>
      </c>
      <c r="X20" s="1469"/>
      <c r="Y20" s="1626"/>
      <c r="Z20" s="1472"/>
      <c r="AA20" s="1475"/>
      <c r="AB20" s="1472"/>
      <c r="AC20" s="1472"/>
      <c r="AD20" s="1472"/>
    </row>
    <row customHeight="1" ht="36">
      <c r="A21" s="1471"/>
      <c r="B21" s="1525">
        <v>4</v>
      </c>
      <c r="C21" s="1469">
        <v>2</v>
      </c>
      <c r="D21" s="1593"/>
      <c r="E21" s="1469"/>
      <c r="F21" s="1469"/>
      <c r="G21" s="1469"/>
      <c r="H21" s="1628"/>
      <c r="I21" s="1631" t="str">
        <f>INDEX(TEMPLATE_NUMBER_POINT_FHD,B21,MATCH(TEMPLATE_SPHERE,TEMPLATE_SPHERE_LIST_FOR_NOTE,0))</f>
        <v>2.2</v>
      </c>
      <c r="J21" s="1631"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631" t="str">
        <f>INDEX(TEMPLATE_NOTE_POINT_FHD,B21,MATCH(TEMPLATE_SPHERE,TEMPLATE_SPHERE_LIST_FOR_NOTE,0))</f>
        <v>Указываются суммарные расходы на приобретение топлива всех видов.</v>
      </c>
      <c r="L21" s="1470" t="str">
        <f>IF(I21=0,"",I21)</f>
        <v>2.2</v>
      </c>
      <c r="M21" s="1470"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470" t="str">
        <f>IF(K21=0,"",K21)</f>
        <v>Указываются суммарные расходы на приобретение топлива всех видов.</v>
      </c>
      <c r="O21" s="1583" t="s">
        <v>325</v>
      </c>
      <c r="P21" s="1583"/>
      <c r="Q21" s="1583"/>
      <c r="R21" s="1583"/>
      <c r="S21" s="1583"/>
      <c r="T21" s="1590" t="s">
        <v>2236</v>
      </c>
      <c r="U21" s="1472"/>
      <c r="V21" s="1472"/>
      <c r="W21" s="1472"/>
      <c r="X21" s="1469"/>
      <c r="Y21" s="1626"/>
      <c r="Z21" s="1472" t="s">
        <v>2237</v>
      </c>
      <c r="AA21" s="1475"/>
      <c r="AB21" s="1472"/>
      <c r="AC21" s="1472"/>
      <c r="AD21" s="1472"/>
    </row>
    <row customHeight="1" ht="36">
      <c r="A22" s="1471"/>
      <c r="B22" s="1525">
        <v>5</v>
      </c>
      <c r="C22" s="1469">
        <v>3</v>
      </c>
      <c r="D22" s="1593"/>
      <c r="E22" s="1469"/>
      <c r="F22" s="1469"/>
      <c r="G22" s="1517"/>
      <c r="H22" s="1584"/>
      <c r="I22" s="1631">
        <f>INDEX(TEMPLATE_NUMBER_POINT_FHD,B22,MATCH(TEMPLATE_SPHERE,TEMPLATE_SPHERE_LIST_FOR_NOTE,0))</f>
        <v>0</v>
      </c>
      <c r="J22" s="1631">
        <f>INDEX(TEMPLATE_DATA_POINT_FHD,B22,MATCH(TEMPLATE_SPHERE,TEMPLATE_SPHERE_LIST_FOR_NOTE,0))</f>
        <v>0</v>
      </c>
      <c r="K22" s="1631">
        <f>INDEX(TEMPLATE_NOTE_POINT_FHD,B22,MATCH(TEMPLATE_SPHERE,TEMPLATE_SPHERE_LIST_FOR_NOTE,0))</f>
        <v>0</v>
      </c>
      <c r="L22" s="1470" t="str">
        <f>IF(I22=0,"",I22)</f>
        <v/>
      </c>
      <c r="M22" s="1470" t="str">
        <f>IF(J22=0,"",J22)</f>
        <v/>
      </c>
      <c r="N22" s="1470" t="str">
        <f>IF(K22=0,"",K22)</f>
        <v/>
      </c>
      <c r="O22" s="1583"/>
      <c r="P22" s="1583"/>
      <c r="Q22" s="1583" t="s">
        <v>325</v>
      </c>
      <c r="R22" s="1583"/>
      <c r="S22" s="1583"/>
      <c r="T22" s="1590"/>
      <c r="U22" s="1472"/>
      <c r="V22" s="1472" t="s">
        <v>2238</v>
      </c>
      <c r="W22" s="1472"/>
      <c r="X22" s="1469"/>
      <c r="Y22" s="1626"/>
      <c r="Z22" s="1472"/>
      <c r="AA22" s="1475"/>
      <c r="AB22" s="1472"/>
      <c r="AC22" s="1472"/>
      <c r="AD22" s="1472"/>
    </row>
    <row customHeight="1" ht="27">
      <c r="A23" s="1471"/>
      <c r="B23" s="1525">
        <v>6</v>
      </c>
      <c r="C23" s="1469">
        <v>4</v>
      </c>
      <c r="D23" s="1593"/>
      <c r="E23" s="1469"/>
      <c r="F23" s="1469"/>
      <c r="G23" s="1517"/>
      <c r="H23" s="1584"/>
      <c r="I23" s="1631">
        <f>INDEX(TEMPLATE_NUMBER_POINT_FHD,B23,MATCH(TEMPLATE_SPHERE,TEMPLATE_SPHERE_LIST_FOR_NOTE,0))</f>
        <v>0</v>
      </c>
      <c r="J23" s="1631">
        <f>INDEX(TEMPLATE_DATA_POINT_FHD,B23,MATCH(TEMPLATE_SPHERE,TEMPLATE_SPHERE_LIST_FOR_NOTE,0))</f>
        <v>0</v>
      </c>
      <c r="K23" s="1631">
        <f>INDEX(TEMPLATE_NOTE_POINT_FHD,B23,MATCH(TEMPLATE_SPHERE,TEMPLATE_SPHERE_LIST_FOR_NOTE,0))</f>
        <v>0</v>
      </c>
      <c r="L23" s="1470" t="str">
        <f>IF(I23=0,"",I23)</f>
        <v/>
      </c>
      <c r="M23" s="1470" t="str">
        <f>IF(J23=0,"",J23)</f>
        <v/>
      </c>
      <c r="N23" s="1470" t="str">
        <f>IF(K23=0,"",K23)</f>
        <v/>
      </c>
      <c r="O23" s="1583"/>
      <c r="P23" s="1583"/>
      <c r="Q23" s="1583" t="s">
        <v>328</v>
      </c>
      <c r="R23" s="1583"/>
      <c r="S23" s="1583"/>
      <c r="T23" s="1590"/>
      <c r="U23" s="1472"/>
      <c r="V23" s="1472" t="s">
        <v>2239</v>
      </c>
      <c r="W23" s="1472"/>
      <c r="X23" s="1469"/>
      <c r="Y23" s="1626"/>
      <c r="Z23" s="1472"/>
      <c r="AA23" s="1475"/>
      <c r="AB23" s="1472"/>
      <c r="AC23" s="1472"/>
      <c r="AD23" s="1472"/>
    </row>
    <row customHeight="1" ht="36">
      <c r="A24" s="1471"/>
      <c r="B24" s="1525">
        <v>7</v>
      </c>
      <c r="C24" s="1469">
        <v>5</v>
      </c>
      <c r="D24" s="1593"/>
      <c r="E24" s="1469"/>
      <c r="F24" s="1469"/>
      <c r="G24" s="1517"/>
      <c r="H24" s="1584"/>
      <c r="I24" s="1631">
        <f>INDEX(TEMPLATE_NUMBER_POINT_FHD,B24,MATCH(TEMPLATE_SPHERE,TEMPLATE_SPHERE_LIST_FOR_NOTE,0))</f>
        <v>0</v>
      </c>
      <c r="J24" s="1631">
        <f>INDEX(TEMPLATE_DATA_POINT_FHD,B24,MATCH(TEMPLATE_SPHERE,TEMPLATE_SPHERE_LIST_FOR_NOTE,0))</f>
        <v>0</v>
      </c>
      <c r="K24" s="1631">
        <f>INDEX(TEMPLATE_NOTE_POINT_FHD,B24,MATCH(TEMPLATE_SPHERE,TEMPLATE_SPHERE_LIST_FOR_NOTE,0))</f>
        <v>0</v>
      </c>
      <c r="L24" s="1470" t="str">
        <f>IF(I24=0,"",I24)</f>
        <v/>
      </c>
      <c r="M24" s="1470" t="str">
        <f>IF(J24=0,"",J24)</f>
        <v/>
      </c>
      <c r="N24" s="1470" t="str">
        <f>IF(K24=0,"",K24)</f>
        <v/>
      </c>
      <c r="O24" s="1583"/>
      <c r="P24" s="1583"/>
      <c r="Q24" s="1583" t="s">
        <v>750</v>
      </c>
      <c r="R24" s="1583"/>
      <c r="S24" s="1583"/>
      <c r="T24" s="1590"/>
      <c r="U24" s="1472"/>
      <c r="V24" s="1472" t="s">
        <v>2240</v>
      </c>
      <c r="W24" s="1472"/>
      <c r="X24" s="1469"/>
      <c r="Y24" s="1626"/>
      <c r="Z24" s="1472"/>
      <c r="AA24" s="1475"/>
      <c r="AB24" s="1472"/>
      <c r="AC24" s="1472"/>
      <c r="AD24" s="1472"/>
    </row>
    <row customHeight="1" ht="36">
      <c r="A25" s="1471"/>
      <c r="B25" s="1525">
        <v>8</v>
      </c>
      <c r="C25" s="1469">
        <v>6</v>
      </c>
      <c r="D25" s="1593"/>
      <c r="E25" s="1469"/>
      <c r="F25" s="1469"/>
      <c r="G25" s="1517"/>
      <c r="H25" s="1584"/>
      <c r="I25" s="1631" t="str">
        <f>INDEX(TEMPLATE_NUMBER_POINT_FHD,B25,MATCH(TEMPLATE_SPHERE,TEMPLATE_SPHERE_LIST_FOR_NOTE,0))</f>
        <v>2.3</v>
      </c>
      <c r="J25" s="1631"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631">
        <f>INDEX(TEMPLATE_NOTE_POINT_FHD,B25,MATCH(TEMPLATE_SPHERE,TEMPLATE_SPHERE_LIST_FOR_NOTE,0))</f>
        <v>0</v>
      </c>
      <c r="L25" s="1470" t="str">
        <f>IF(I25=0,"",I25)</f>
        <v>2.3</v>
      </c>
      <c r="M25" s="1470" t="str">
        <f>IF(J25=0,"",J25)</f>
        <v>Расходы на приобретаемую электрическую энергию (мощность), используемую в технологическом процессе</v>
      </c>
      <c r="N25" s="1470" t="str">
        <f>IF(K25=0,"",K25)</f>
        <v/>
      </c>
      <c r="O25" s="1583" t="s">
        <v>328</v>
      </c>
      <c r="P25" s="1583" t="s">
        <v>325</v>
      </c>
      <c r="Q25" s="1583" t="s">
        <v>757</v>
      </c>
      <c r="R25" s="1583" t="s">
        <v>325</v>
      </c>
      <c r="S25" s="1583"/>
      <c r="T25" s="1590" t="s">
        <v>2241</v>
      </c>
      <c r="U25" s="1472" t="s">
        <v>2241</v>
      </c>
      <c r="V25" s="1472" t="s">
        <v>2241</v>
      </c>
      <c r="W25" s="1472" t="s">
        <v>2241</v>
      </c>
      <c r="X25" s="1469"/>
      <c r="Y25" s="1626"/>
      <c r="Z25" s="1472"/>
      <c r="AA25" s="1475"/>
      <c r="AB25" s="1472"/>
      <c r="AC25" s="1472"/>
      <c r="AD25" s="1472"/>
    </row>
    <row customHeight="1" ht="18">
      <c r="A26" s="1471"/>
      <c r="B26" s="1525">
        <v>9</v>
      </c>
      <c r="C26" s="1469" t="s">
        <v>674</v>
      </c>
      <c r="D26" s="1593"/>
      <c r="E26" s="1469"/>
      <c r="F26" s="1469"/>
      <c r="G26" s="1517"/>
      <c r="H26" s="1584"/>
      <c r="I26" s="1631" t="str">
        <f>INDEX(TEMPLATE_NUMBER_POINT_FHD,B26,MATCH(TEMPLATE_SPHERE,TEMPLATE_SPHERE_LIST_FOR_NOTE,0))</f>
        <v>2.3.1</v>
      </c>
      <c r="J26" s="1631" t="str">
        <f>INDEX(TEMPLATE_DATA_POINT_FHD,B26,MATCH(TEMPLATE_SPHERE,TEMPLATE_SPHERE_LIST_FOR_NOTE,0))</f>
        <v>Средневзвешенная стоимость 1 кВт.ч</v>
      </c>
      <c r="K26" s="1631">
        <f>INDEX(TEMPLATE_NOTE_POINT_FHD,B26,MATCH(TEMPLATE_SPHERE,TEMPLATE_SPHERE_LIST_FOR_NOTE,0))</f>
        <v>0</v>
      </c>
      <c r="L26" s="1470" t="str">
        <f>IF(I26=0,"",I26)</f>
        <v>2.3.1</v>
      </c>
      <c r="M26" s="1470" t="str">
        <f>IF(J26=0,"",J26)</f>
        <v>Средневзвешенная стоимость 1 кВт.ч</v>
      </c>
      <c r="N26" s="1470" t="str">
        <f>IF(K26=0,"",K26)</f>
        <v/>
      </c>
      <c r="O26" s="1583" t="s">
        <v>746</v>
      </c>
      <c r="P26" s="1583" t="s">
        <v>740</v>
      </c>
      <c r="Q26" s="1583" t="s">
        <v>2242</v>
      </c>
      <c r="R26" s="1583" t="s">
        <v>740</v>
      </c>
      <c r="S26" s="1583"/>
      <c r="T26" s="1590" t="str">
        <f>"Средневзвешенная стоимость 1 кВт.ч"&amp;IF(TITLE_TYPE_ORG="Регулируемая организация"," (с учетом мощности)","")</f>
        <v>Средневзвешенная стоимость 1 кВт.ч</v>
      </c>
      <c r="U26" s="1590" t="s">
        <v>2243</v>
      </c>
      <c r="V26" s="1590" t="s">
        <v>2243</v>
      </c>
      <c r="W26" s="1590" t="s">
        <v>2243</v>
      </c>
      <c r="X26" s="1469"/>
      <c r="Y26" s="1626"/>
      <c r="Z26" s="1472"/>
      <c r="AA26" s="1475"/>
      <c r="AB26" s="1472"/>
      <c r="AC26" s="1472"/>
      <c r="AD26" s="1472"/>
    </row>
    <row customHeight="1" ht="18">
      <c r="A27" s="1471"/>
      <c r="B27" s="1525">
        <v>10</v>
      </c>
      <c r="C27" s="1469" t="s">
        <v>678</v>
      </c>
      <c r="D27" s="1593"/>
      <c r="E27" s="1469"/>
      <c r="F27" s="1469"/>
      <c r="G27" s="1517"/>
      <c r="H27" s="1584"/>
      <c r="I27" s="1631" t="str">
        <f>INDEX(TEMPLATE_NUMBER_POINT_FHD,B27,MATCH(TEMPLATE_SPHERE,TEMPLATE_SPHERE_LIST_FOR_NOTE,0))</f>
        <v>2.3.2</v>
      </c>
      <c r="J27" s="1631" t="str">
        <f>INDEX(TEMPLATE_DATA_POINT_FHD,B27,MATCH(TEMPLATE_SPHERE,TEMPLATE_SPHERE_LIST_FOR_NOTE,0))</f>
        <v>Объём приобретения электрической энергии</v>
      </c>
      <c r="K27" s="1631">
        <f>INDEX(TEMPLATE_NOTE_POINT_FHD,B27,MATCH(TEMPLATE_SPHERE,TEMPLATE_SPHERE_LIST_FOR_NOTE,0))</f>
        <v>0</v>
      </c>
      <c r="L27" s="1470" t="str">
        <f>IF(I27=0,"",I27)</f>
        <v>2.3.2</v>
      </c>
      <c r="M27" s="1470" t="str">
        <f>IF(J27=0,"",J27)</f>
        <v>Объём приобретения электрической энергии</v>
      </c>
      <c r="N27" s="1470" t="str">
        <f>IF(K27=0,"",K27)</f>
        <v/>
      </c>
      <c r="O27" s="1583" t="s">
        <v>748</v>
      </c>
      <c r="P27" s="1583" t="s">
        <v>742</v>
      </c>
      <c r="Q27" s="1583" t="s">
        <v>2244</v>
      </c>
      <c r="R27" s="1583" t="s">
        <v>742</v>
      </c>
      <c r="S27" s="1583"/>
      <c r="T27" s="1590" t="s">
        <v>2245</v>
      </c>
      <c r="U27" s="1590" t="s">
        <v>2245</v>
      </c>
      <c r="V27" s="1590" t="s">
        <v>2245</v>
      </c>
      <c r="W27" s="1590" t="s">
        <v>2245</v>
      </c>
      <c r="X27" s="1469"/>
      <c r="Y27" s="1626"/>
      <c r="Z27" s="1472"/>
      <c r="AA27" s="1475"/>
      <c r="AB27" s="1472"/>
      <c r="AC27" s="1472"/>
      <c r="AD27" s="1472"/>
    </row>
    <row customHeight="1" ht="27">
      <c r="A28" s="1471"/>
      <c r="B28" s="1525">
        <v>11</v>
      </c>
      <c r="C28" s="1469">
        <v>7</v>
      </c>
      <c r="D28" s="1593"/>
      <c r="E28" s="1469"/>
      <c r="F28" s="1469"/>
      <c r="G28" s="1517"/>
      <c r="H28" s="1584"/>
      <c r="I28" s="1631" t="str">
        <f>INDEX(TEMPLATE_NUMBER_POINT_FHD,B28,MATCH(TEMPLATE_SPHERE,TEMPLATE_SPHERE_LIST_FOR_NOTE,0))</f>
        <v>2.4</v>
      </c>
      <c r="J28" s="1631" t="str">
        <f>INDEX(TEMPLATE_DATA_POINT_FHD,B28,MATCH(TEMPLATE_SPHERE,TEMPLATE_SPHERE_LIST_FOR_NOTE,0))</f>
        <v>Расходы на приобретение холодной воды, используемой в технологическом процессе</v>
      </c>
      <c r="K28" s="1631">
        <f>INDEX(TEMPLATE_NOTE_POINT_FHD,B28,MATCH(TEMPLATE_SPHERE,TEMPLATE_SPHERE_LIST_FOR_NOTE,0))</f>
        <v>0</v>
      </c>
      <c r="L28" s="1470" t="str">
        <f>IF(I28=0,"",I28)</f>
        <v>2.4</v>
      </c>
      <c r="M28" s="1470" t="str">
        <f>IF(J28=0,"",J28)</f>
        <v>Расходы на приобретение холодной воды, используемой в технологическом процессе</v>
      </c>
      <c r="N28" s="1470" t="str">
        <f>IF(K28=0,"",K28)</f>
        <v/>
      </c>
      <c r="O28" s="1583" t="s">
        <v>750</v>
      </c>
      <c r="P28" s="1583"/>
      <c r="Q28" s="1583"/>
      <c r="R28" s="1583"/>
      <c r="S28" s="1583"/>
      <c r="T28" s="1590" t="s">
        <v>2246</v>
      </c>
      <c r="U28" s="1472"/>
      <c r="V28" s="1472"/>
      <c r="W28" s="1472"/>
      <c r="X28" s="1469"/>
      <c r="Y28" s="1626"/>
      <c r="Z28" s="1472"/>
      <c r="AA28" s="1475"/>
      <c r="AB28" s="1472"/>
      <c r="AC28" s="1472"/>
      <c r="AD28" s="1472"/>
    </row>
    <row customHeight="1" ht="27">
      <c r="A29" s="1471"/>
      <c r="B29" s="1525">
        <v>12</v>
      </c>
      <c r="C29" s="1469">
        <v>8</v>
      </c>
      <c r="D29" s="1593"/>
      <c r="E29" s="1469"/>
      <c r="F29" s="1469"/>
      <c r="G29" s="1517"/>
      <c r="H29" s="1584"/>
      <c r="I29" s="1631" t="str">
        <f>INDEX(TEMPLATE_NUMBER_POINT_FHD,B29,MATCH(TEMPLATE_SPHERE,TEMPLATE_SPHERE_LIST_FOR_NOTE,0))</f>
        <v>2.5</v>
      </c>
      <c r="J29" s="1631" t="str">
        <f>INDEX(TEMPLATE_DATA_POINT_FHD,B29,MATCH(TEMPLATE_SPHERE,TEMPLATE_SPHERE_LIST_FOR_NOTE,0))</f>
        <v>Расходы на  хим. реагенты, используемые в технологическом процессе</v>
      </c>
      <c r="K29" s="1631">
        <f>INDEX(TEMPLATE_NOTE_POINT_FHD,B29,MATCH(TEMPLATE_SPHERE,TEMPLATE_SPHERE_LIST_FOR_NOTE,0))</f>
        <v>0</v>
      </c>
      <c r="L29" s="1470" t="str">
        <f>IF(I29=0,"",I29)</f>
        <v>2.5</v>
      </c>
      <c r="M29" s="1470" t="str">
        <f>IF(J29=0,"",J29)</f>
        <v>Расходы на  хим. реагенты, используемые в технологическом процессе</v>
      </c>
      <c r="N29" s="1470" t="str">
        <f>IF(K29=0,"",K29)</f>
        <v/>
      </c>
      <c r="O29" s="1583" t="s">
        <v>757</v>
      </c>
      <c r="P29" s="1583" t="s">
        <v>328</v>
      </c>
      <c r="Q29" s="1583"/>
      <c r="R29" s="1583" t="s">
        <v>328</v>
      </c>
      <c r="S29" s="1583"/>
      <c r="T29" s="159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472" t="s">
        <v>2247</v>
      </c>
      <c r="V29" s="1472"/>
      <c r="W29" s="1472" t="s">
        <v>2247</v>
      </c>
      <c r="X29" s="1469"/>
      <c r="Y29" s="1626"/>
      <c r="Z29" s="1472"/>
      <c r="AA29" s="1475"/>
      <c r="AB29" s="1472"/>
      <c r="AC29" s="1472"/>
      <c r="AD29" s="1472"/>
    </row>
    <row customHeight="1" ht="54">
      <c r="A30" s="1471"/>
      <c r="B30" s="1525">
        <v>13</v>
      </c>
      <c r="C30" s="1469">
        <v>9</v>
      </c>
      <c r="D30" s="1593"/>
      <c r="E30" s="1469"/>
      <c r="F30" s="1469"/>
      <c r="G30" s="1517"/>
      <c r="H30" s="1584"/>
      <c r="I30" s="1631" t="str">
        <f>INDEX(TEMPLATE_NUMBER_POINT_FHD,B30,MATCH(TEMPLATE_SPHERE,TEMPLATE_SPHERE_LIST_FOR_NOTE,0))</f>
        <v>2.6</v>
      </c>
      <c r="J30" s="1631"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631">
        <f>INDEX(TEMPLATE_NOTE_POINT_FHD,B30,MATCH(TEMPLATE_SPHERE,TEMPLATE_SPHERE_LIST_FOR_NOTE,0))</f>
        <v>0</v>
      </c>
      <c r="L30" s="1470" t="str">
        <f>IF(I30=0,"",I30)</f>
        <v>2.6</v>
      </c>
      <c r="M30" s="147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470" t="str">
        <f>IF(K30=0,"",K30)</f>
        <v/>
      </c>
      <c r="O30" s="1583" t="s">
        <v>759</v>
      </c>
      <c r="P30" s="1583" t="s">
        <v>750</v>
      </c>
      <c r="Q30" s="1583" t="s">
        <v>759</v>
      </c>
      <c r="R30" s="1583" t="s">
        <v>750</v>
      </c>
      <c r="S30" s="1583"/>
      <c r="T30" s="1590" t="s">
        <v>2248</v>
      </c>
      <c r="U30" s="1472" t="s">
        <v>2248</v>
      </c>
      <c r="V30" s="1472" t="s">
        <v>2248</v>
      </c>
      <c r="W30" s="1472" t="s">
        <v>2248</v>
      </c>
      <c r="X30" s="1469"/>
      <c r="Y30" s="1626"/>
      <c r="Z30" s="1472"/>
      <c r="AA30" s="1475" t="s">
        <v>2249</v>
      </c>
      <c r="AB30" s="1475" t="s">
        <v>2249</v>
      </c>
      <c r="AC30" s="1475" t="s">
        <v>2249</v>
      </c>
      <c r="AD30" s="1472"/>
    </row>
    <row customHeight="1" ht="18">
      <c r="A31" s="1471"/>
      <c r="B31" s="1525">
        <v>14</v>
      </c>
      <c r="C31" s="1469" t="s">
        <v>2250</v>
      </c>
      <c r="D31" s="1593"/>
      <c r="E31" s="1469"/>
      <c r="F31" s="1469"/>
      <c r="G31" s="1517"/>
      <c r="H31" s="1584"/>
      <c r="I31" s="1631" t="str">
        <f>INDEX(TEMPLATE_NUMBER_POINT_FHD,B31,MATCH(TEMPLATE_SPHERE,TEMPLATE_SPHERE_LIST_FOR_NOTE,0))</f>
        <v>2.6.1</v>
      </c>
      <c r="J31" s="1631" t="str">
        <f>INDEX(TEMPLATE_DATA_POINT_FHD,B31,MATCH(TEMPLATE_SPHERE,TEMPLATE_SPHERE_LIST_FOR_NOTE,0))</f>
        <v>Расходы на оплату труда основного производственного персонала</v>
      </c>
      <c r="K31" s="1631">
        <f>INDEX(TEMPLATE_NOTE_POINT_FHD,B31,MATCH(TEMPLATE_SPHERE,TEMPLATE_SPHERE_LIST_FOR_NOTE,0))</f>
        <v>0</v>
      </c>
      <c r="L31" s="1470" t="str">
        <f>IF(I31=0,"",I31)</f>
        <v>2.6.1</v>
      </c>
      <c r="M31" s="1470" t="str">
        <f>IF(J31=0,"",J31)</f>
        <v>Расходы на оплату труда основного производственного персонала</v>
      </c>
      <c r="N31" s="1470" t="str">
        <f>IF(K31=0,"",K31)</f>
        <v/>
      </c>
      <c r="O31" s="1583" t="s">
        <v>2251</v>
      </c>
      <c r="P31" s="1583" t="s">
        <v>753</v>
      </c>
      <c r="Q31" s="1583" t="s">
        <v>2251</v>
      </c>
      <c r="R31" s="1583" t="s">
        <v>753</v>
      </c>
      <c r="S31" s="1583"/>
      <c r="T31" s="1591" t="s">
        <v>2252</v>
      </c>
      <c r="U31" s="1472" t="s">
        <v>2252</v>
      </c>
      <c r="V31" s="1472" t="s">
        <v>2252</v>
      </c>
      <c r="W31" s="1472" t="s">
        <v>2252</v>
      </c>
      <c r="X31" s="1469"/>
      <c r="Y31" s="1626"/>
      <c r="Z31" s="1472"/>
      <c r="AA31" s="1475"/>
      <c r="AB31" s="1475"/>
      <c r="AC31" s="1475"/>
      <c r="AD31" s="1472"/>
    </row>
    <row customHeight="1" ht="36">
      <c r="A32" s="1471"/>
      <c r="B32" s="1525">
        <v>15</v>
      </c>
      <c r="C32" s="1469" t="s">
        <v>2253</v>
      </c>
      <c r="D32" s="1593"/>
      <c r="E32" s="1469"/>
      <c r="F32" s="1469"/>
      <c r="G32" s="1517"/>
      <c r="H32" s="1584"/>
      <c r="I32" s="1631" t="str">
        <f>INDEX(TEMPLATE_NUMBER_POINT_FHD,B32,MATCH(TEMPLATE_SPHERE,TEMPLATE_SPHERE_LIST_FOR_NOTE,0))</f>
        <v>2.6.2</v>
      </c>
      <c r="J32" s="1631" t="str">
        <f>INDEX(TEMPLATE_DATA_POINT_FHD,B32,MATCH(TEMPLATE_SPHERE,TEMPLATE_SPHERE_LIST_FOR_NOTE,0))</f>
        <v>Расходы на страховые взносы на обязательное социальное страхование, выплачиваемые из фонда оплаты труда основного производственного персонала</v>
      </c>
      <c r="K32" s="1631">
        <f>INDEX(TEMPLATE_NOTE_POINT_FHD,B32,MATCH(TEMPLATE_SPHERE,TEMPLATE_SPHERE_LIST_FOR_NOTE,0))</f>
        <v>0</v>
      </c>
      <c r="L32" s="1470" t="str">
        <f>IF(I32=0,"",I32)</f>
        <v>2.6.2</v>
      </c>
      <c r="M32" s="1470" t="str">
        <f>IF(J32=0,"",J32)</f>
        <v>Расходы на страховые взносы на обязательное социальное страхование, выплачиваемые из фонда оплаты труда основного производственного персонала</v>
      </c>
      <c r="N32" s="1470" t="str">
        <f>IF(K32=0,"",K32)</f>
        <v/>
      </c>
      <c r="O32" s="1583" t="s">
        <v>2254</v>
      </c>
      <c r="P32" s="1583" t="s">
        <v>755</v>
      </c>
      <c r="Q32" s="1583" t="s">
        <v>2254</v>
      </c>
      <c r="R32" s="1583" t="s">
        <v>755</v>
      </c>
      <c r="S32" s="1583"/>
      <c r="T32" s="15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472" t="s">
        <v>2255</v>
      </c>
      <c r="V32" s="1472" t="s">
        <v>2255</v>
      </c>
      <c r="W32" s="1472" t="s">
        <v>2255</v>
      </c>
      <c r="X32" s="1469"/>
      <c r="Y32" s="1626"/>
      <c r="Z32" s="1472"/>
      <c r="AA32" s="1475"/>
      <c r="AB32" s="1475"/>
      <c r="AC32" s="1475"/>
      <c r="AD32" s="1472"/>
    </row>
    <row customHeight="1" ht="45">
      <c r="A33" s="1471"/>
      <c r="B33" s="1525">
        <v>16</v>
      </c>
      <c r="C33" s="1469">
        <v>10</v>
      </c>
      <c r="D33" s="1593"/>
      <c r="E33" s="1469"/>
      <c r="F33" s="1469"/>
      <c r="G33" s="1517"/>
      <c r="H33" s="1584"/>
      <c r="I33" s="1631" t="str">
        <f>INDEX(TEMPLATE_NUMBER_POINT_FHD,B33,MATCH(TEMPLATE_SPHERE,TEMPLATE_SPHERE_LIST_FOR_NOTE,0))</f>
        <v>2.7</v>
      </c>
      <c r="J33" s="1631"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631">
        <f>INDEX(TEMPLATE_NOTE_POINT_FHD,B33,MATCH(TEMPLATE_SPHERE,TEMPLATE_SPHERE_LIST_FOR_NOTE,0))</f>
        <v>0</v>
      </c>
      <c r="L33" s="1470" t="str">
        <f>IF(I33=0,"",I33)</f>
        <v>2.7</v>
      </c>
      <c r="M33" s="147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1470" t="str">
        <f>IF(K33=0,"",K33)</f>
        <v/>
      </c>
      <c r="O33" s="1583" t="s">
        <v>761</v>
      </c>
      <c r="P33" s="1583" t="s">
        <v>757</v>
      </c>
      <c r="Q33" s="1583" t="s">
        <v>761</v>
      </c>
      <c r="R33" s="1583" t="s">
        <v>757</v>
      </c>
      <c r="S33" s="1583"/>
      <c r="T33" s="15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472" t="s">
        <v>2256</v>
      </c>
      <c r="V33" s="1472" t="s">
        <v>2256</v>
      </c>
      <c r="W33" s="1472" t="s">
        <v>2257</v>
      </c>
      <c r="X33" s="1469"/>
      <c r="Y33" s="1626"/>
      <c r="Z33" s="1472"/>
      <c r="AA33" s="1475" t="s">
        <v>2258</v>
      </c>
      <c r="AB33" s="1475" t="s">
        <v>2258</v>
      </c>
      <c r="AC33" s="1475" t="s">
        <v>2258</v>
      </c>
      <c r="AD33" s="1472"/>
    </row>
    <row customHeight="1" ht="27">
      <c r="A34" s="1471"/>
      <c r="B34" s="1525">
        <v>17</v>
      </c>
      <c r="C34" s="1469" t="s">
        <v>2259</v>
      </c>
      <c r="D34" s="1593"/>
      <c r="E34" s="1469"/>
      <c r="F34" s="1469"/>
      <c r="G34" s="1517"/>
      <c r="H34" s="1584"/>
      <c r="I34" s="1631" t="str">
        <f>INDEX(TEMPLATE_NUMBER_POINT_FHD,B34,MATCH(TEMPLATE_SPHERE,TEMPLATE_SPHERE_LIST_FOR_NOTE,0))</f>
        <v>2.7.1</v>
      </c>
      <c r="J34" s="1631" t="str">
        <f>INDEX(TEMPLATE_DATA_POINT_FHD,B34,MATCH(TEMPLATE_SPHERE,TEMPLATE_SPHERE_LIST_FOR_NOTE,0))</f>
        <v>Расходы на оплату труда административно-управленческого персонала</v>
      </c>
      <c r="K34" s="1631">
        <f>INDEX(TEMPLATE_NOTE_POINT_FHD,B34,MATCH(TEMPLATE_SPHERE,TEMPLATE_SPHERE_LIST_FOR_NOTE,0))</f>
        <v>0</v>
      </c>
      <c r="L34" s="1470" t="str">
        <f>IF(I34=0,"",I34)</f>
        <v>2.7.1</v>
      </c>
      <c r="M34" s="1470" t="str">
        <f>IF(J34=0,"",J34)</f>
        <v>Расходы на оплату труда административно-управленческого персонала</v>
      </c>
      <c r="N34" s="1470" t="str">
        <f>IF(K34=0,"",K34)</f>
        <v/>
      </c>
      <c r="O34" s="1583" t="s">
        <v>2260</v>
      </c>
      <c r="P34" s="1583" t="s">
        <v>2242</v>
      </c>
      <c r="Q34" s="1583" t="s">
        <v>2260</v>
      </c>
      <c r="R34" s="1583" t="s">
        <v>2242</v>
      </c>
      <c r="S34" s="1583"/>
      <c r="T34" s="1592" t="s">
        <v>2261</v>
      </c>
      <c r="U34" s="1472" t="s">
        <v>2261</v>
      </c>
      <c r="V34" s="1472" t="s">
        <v>2261</v>
      </c>
      <c r="W34" s="1472" t="s">
        <v>2262</v>
      </c>
      <c r="X34" s="1469"/>
      <c r="Y34" s="1626"/>
      <c r="Z34" s="1472"/>
      <c r="AA34" s="1475"/>
      <c r="AB34" s="1472"/>
      <c r="AC34" s="1472"/>
      <c r="AD34" s="1472"/>
    </row>
    <row customHeight="1" ht="45">
      <c r="A35" s="1471"/>
      <c r="B35" s="1525">
        <v>18</v>
      </c>
      <c r="C35" s="1469" t="s">
        <v>2263</v>
      </c>
      <c r="D35" s="1593"/>
      <c r="E35" s="1469"/>
      <c r="F35" s="1469"/>
      <c r="G35" s="1517"/>
      <c r="H35" s="1584"/>
      <c r="I35" s="1631" t="str">
        <f>INDEX(TEMPLATE_NUMBER_POINT_FHD,B35,MATCH(TEMPLATE_SPHERE,TEMPLATE_SPHERE_LIST_FOR_NOTE,0))</f>
        <v>2.7.2</v>
      </c>
      <c r="J35" s="1631" t="str">
        <f>INDEX(TEMPLATE_DATA_POINT_FHD,B35,MATCH(TEMPLATE_SPHERE,TEMPLATE_SPHERE_LIST_FOR_NOTE,0))</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1631">
        <f>INDEX(TEMPLATE_NOTE_POINT_FHD,B35,MATCH(TEMPLATE_SPHERE,TEMPLATE_SPHERE_LIST_FOR_NOTE,0))</f>
        <v>0</v>
      </c>
      <c r="L35" s="1470" t="str">
        <f>IF(I35=0,"",I35)</f>
        <v>2.7.2</v>
      </c>
      <c r="M35" s="1470" t="str">
        <f>IF(J35=0,"",J35)</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1470" t="str">
        <f>IF(K35=0,"",K35)</f>
        <v/>
      </c>
      <c r="O35" s="1583" t="s">
        <v>2264</v>
      </c>
      <c r="P35" s="1583" t="s">
        <v>2244</v>
      </c>
      <c r="Q35" s="1583" t="s">
        <v>2264</v>
      </c>
      <c r="R35" s="1583" t="s">
        <v>2244</v>
      </c>
      <c r="S35" s="1583"/>
      <c r="T35" s="15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472" t="s">
        <v>2265</v>
      </c>
      <c r="V35" s="1472" t="s">
        <v>2265</v>
      </c>
      <c r="W35" s="1472" t="s">
        <v>2265</v>
      </c>
      <c r="X35" s="1469"/>
      <c r="Y35" s="1626"/>
      <c r="Z35" s="1472"/>
      <c r="AA35" s="1475"/>
      <c r="AB35" s="1472"/>
      <c r="AC35" s="1472"/>
      <c r="AD35" s="1472"/>
    </row>
    <row customHeight="1" ht="18">
      <c r="A36" s="1471"/>
      <c r="B36" s="1525">
        <v>19</v>
      </c>
      <c r="C36" s="1469">
        <v>11</v>
      </c>
      <c r="D36" s="1593"/>
      <c r="E36" s="1469"/>
      <c r="F36" s="1469"/>
      <c r="G36" s="1517"/>
      <c r="H36" s="1584"/>
      <c r="I36" s="1631" t="str">
        <f>INDEX(TEMPLATE_NUMBER_POINT_FHD,B36,MATCH(TEMPLATE_SPHERE,TEMPLATE_SPHERE_LIST_FOR_NOTE,0))</f>
        <v>2.8</v>
      </c>
      <c r="J36" s="1631" t="str">
        <f>INDEX(TEMPLATE_DATA_POINT_FHD,B36,MATCH(TEMPLATE_SPHERE,TEMPLATE_SPHERE_LIST_FOR_NOTE,0))</f>
        <v>Расходы на амортизацию основных средств и нематериальных активов</v>
      </c>
      <c r="K36" s="1631">
        <f>INDEX(TEMPLATE_NOTE_POINT_FHD,B36,MATCH(TEMPLATE_SPHERE,TEMPLATE_SPHERE_LIST_FOR_NOTE,0))</f>
        <v>0</v>
      </c>
      <c r="L36" s="1470" t="str">
        <f>IF(I36=0,"",I36)</f>
        <v>2.8</v>
      </c>
      <c r="M36" s="1470" t="str">
        <f>IF(J36=0,"",J36)</f>
        <v>Расходы на амортизацию основных средств и нематериальных активов</v>
      </c>
      <c r="N36" s="1470" t="str">
        <f>IF(K36=0,"",K36)</f>
        <v/>
      </c>
      <c r="O36" s="1583" t="s">
        <v>763</v>
      </c>
      <c r="P36" s="1583" t="s">
        <v>759</v>
      </c>
      <c r="Q36" s="1583" t="s">
        <v>763</v>
      </c>
      <c r="R36" s="1583" t="s">
        <v>759</v>
      </c>
      <c r="S36" s="1583"/>
      <c r="T36" s="1590" t="s">
        <v>2266</v>
      </c>
      <c r="U36" s="1472" t="s">
        <v>2266</v>
      </c>
      <c r="V36" s="1472" t="s">
        <v>2266</v>
      </c>
      <c r="W36" s="1472" t="s">
        <v>2266</v>
      </c>
      <c r="X36" s="1469"/>
      <c r="Y36" s="1626"/>
      <c r="Z36" s="1472"/>
      <c r="AA36" s="1475"/>
      <c r="AB36" s="1472"/>
      <c r="AC36" s="1472"/>
      <c r="AD36" s="1472"/>
    </row>
    <row customHeight="1" ht="18">
      <c r="A37" s="1471"/>
      <c r="B37" s="1525">
        <v>20</v>
      </c>
      <c r="C37" s="1469" t="s">
        <v>2267</v>
      </c>
      <c r="D37" s="1593"/>
      <c r="E37" s="1469"/>
      <c r="F37" s="1469"/>
      <c r="G37" s="1517"/>
      <c r="H37" s="1584"/>
      <c r="I37" s="1631" t="str">
        <f>INDEX(TEMPLATE_NUMBER_POINT_FHD,B37,MATCH(TEMPLATE_SPHERE,TEMPLATE_SPHERE_LIST_FOR_NOTE,0))</f>
        <v>2.8.1</v>
      </c>
      <c r="J37" s="1631" t="str">
        <f>INDEX(TEMPLATE_DATA_POINT_FHD,B37,MATCH(TEMPLATE_SPHERE,TEMPLATE_SPHERE_LIST_FOR_NOTE,0))</f>
        <v>Расходы на амортизацию основных средств</v>
      </c>
      <c r="K37" s="1631">
        <f>INDEX(TEMPLATE_NOTE_POINT_FHD,B37,MATCH(TEMPLATE_SPHERE,TEMPLATE_SPHERE_LIST_FOR_NOTE,0))</f>
        <v>0</v>
      </c>
      <c r="L37" s="1470" t="str">
        <f>IF(I37=0,"",I37)</f>
        <v>2.8.1</v>
      </c>
      <c r="M37" s="1470" t="str">
        <f>IF(J37=0,"",J37)</f>
        <v>Расходы на амортизацию основных средств</v>
      </c>
      <c r="N37" s="1470" t="str">
        <f>IF(K37=0,"",K37)</f>
        <v/>
      </c>
      <c r="O37" s="1583" t="s">
        <v>2268</v>
      </c>
      <c r="P37" s="1583" t="s">
        <v>2251</v>
      </c>
      <c r="Q37" s="1583" t="s">
        <v>2268</v>
      </c>
      <c r="R37" s="1583" t="s">
        <v>2251</v>
      </c>
      <c r="S37" s="1583"/>
      <c r="T37" s="1590" t="s">
        <v>2269</v>
      </c>
      <c r="U37" s="1472" t="s">
        <v>2269</v>
      </c>
      <c r="V37" s="1472" t="s">
        <v>2269</v>
      </c>
      <c r="W37" s="1472" t="s">
        <v>2269</v>
      </c>
      <c r="X37" s="1469"/>
      <c r="Y37" s="1626"/>
      <c r="Z37" s="1472"/>
      <c r="AA37" s="1475"/>
      <c r="AB37" s="1472"/>
      <c r="AC37" s="1472"/>
      <c r="AD37" s="1472"/>
    </row>
    <row customHeight="1" ht="18">
      <c r="A38" s="1471"/>
      <c r="B38" s="1525">
        <v>21</v>
      </c>
      <c r="C38" s="1469" t="s">
        <v>2270</v>
      </c>
      <c r="D38" s="1593"/>
      <c r="E38" s="1469"/>
      <c r="F38" s="1469"/>
      <c r="G38" s="1517"/>
      <c r="H38" s="1584"/>
      <c r="I38" s="1631" t="str">
        <f>INDEX(TEMPLATE_NUMBER_POINT_FHD,B38,MATCH(TEMPLATE_SPHERE,TEMPLATE_SPHERE_LIST_FOR_NOTE,0))</f>
        <v>2.8.2</v>
      </c>
      <c r="J38" s="1631" t="str">
        <f>INDEX(TEMPLATE_DATA_POINT_FHD,B38,MATCH(TEMPLATE_SPHERE,TEMPLATE_SPHERE_LIST_FOR_NOTE,0))</f>
        <v>Расходы на амортизацию нематериальных активов</v>
      </c>
      <c r="K38" s="1631">
        <f>INDEX(TEMPLATE_NOTE_POINT_FHD,B38,MATCH(TEMPLATE_SPHERE,TEMPLATE_SPHERE_LIST_FOR_NOTE,0))</f>
        <v>0</v>
      </c>
      <c r="L38" s="1470" t="str">
        <f>IF(I38=0,"",I38)</f>
        <v>2.8.2</v>
      </c>
      <c r="M38" s="1470" t="str">
        <f>IF(J38=0,"",J38)</f>
        <v>Расходы на амортизацию нематериальных активов</v>
      </c>
      <c r="N38" s="1470" t="str">
        <f>IF(K38=0,"",K38)</f>
        <v/>
      </c>
      <c r="O38" s="1583" t="s">
        <v>2271</v>
      </c>
      <c r="P38" s="1583" t="s">
        <v>2254</v>
      </c>
      <c r="Q38" s="1583" t="s">
        <v>2271</v>
      </c>
      <c r="R38" s="1583" t="s">
        <v>2254</v>
      </c>
      <c r="S38" s="1583"/>
      <c r="T38" s="1590" t="s">
        <v>2272</v>
      </c>
      <c r="U38" s="1472" t="s">
        <v>2272</v>
      </c>
      <c r="V38" s="1472" t="s">
        <v>2272</v>
      </c>
      <c r="W38" s="1472" t="s">
        <v>2272</v>
      </c>
      <c r="X38" s="1469"/>
      <c r="Y38" s="1626"/>
      <c r="Z38" s="1472"/>
      <c r="AA38" s="1475"/>
      <c r="AB38" s="1472"/>
      <c r="AC38" s="1472"/>
      <c r="AD38" s="1472"/>
    </row>
    <row customHeight="1" ht="36">
      <c r="A39" s="1471"/>
      <c r="B39" s="1525">
        <v>22</v>
      </c>
      <c r="C39" s="1469">
        <v>12</v>
      </c>
      <c r="D39" s="1593"/>
      <c r="E39" s="1469"/>
      <c r="F39" s="1469"/>
      <c r="G39" s="1517"/>
      <c r="H39" s="1584"/>
      <c r="I39" s="1631" t="str">
        <f>INDEX(TEMPLATE_NUMBER_POINT_FHD,B39,MATCH(TEMPLATE_SPHERE,TEMPLATE_SPHERE_LIST_FOR_NOTE,0))</f>
        <v>2.9</v>
      </c>
      <c r="J39" s="1631" t="str">
        <f>INDEX(TEMPLATE_DATA_POINT_FHD,B39,MATCH(TEMPLATE_SPHERE,TEMPLATE_SPHERE_LIST_FOR_NOTE,0))</f>
        <v>Расходы на аренду имущества, используемого для осуществления регулируемого вида деятельности</v>
      </c>
      <c r="K39" s="1631">
        <f>INDEX(TEMPLATE_NOTE_POINT_FHD,B39,MATCH(TEMPLATE_SPHERE,TEMPLATE_SPHERE_LIST_FOR_NOTE,0))</f>
        <v>0</v>
      </c>
      <c r="L39" s="1470" t="str">
        <f>IF(I39=0,"",I39)</f>
        <v>2.9</v>
      </c>
      <c r="M39" s="1470" t="str">
        <f>IF(J39=0,"",J39)</f>
        <v>Расходы на аренду имущества, используемого для осуществления регулируемого вида деятельности</v>
      </c>
      <c r="N39" s="1470" t="str">
        <f>IF(K39=0,"",K39)</f>
        <v/>
      </c>
      <c r="O39" s="1583" t="s">
        <v>767</v>
      </c>
      <c r="P39" s="1583" t="s">
        <v>761</v>
      </c>
      <c r="Q39" s="1583" t="s">
        <v>767</v>
      </c>
      <c r="R39" s="1583" t="s">
        <v>761</v>
      </c>
      <c r="S39" s="1583"/>
      <c r="T39" s="1590" t="s">
        <v>2273</v>
      </c>
      <c r="U39" s="1472" t="s">
        <v>2274</v>
      </c>
      <c r="V39" s="1472" t="s">
        <v>2275</v>
      </c>
      <c r="W39" s="1472" t="s">
        <v>2276</v>
      </c>
      <c r="X39" s="1469"/>
      <c r="Y39" s="1626"/>
      <c r="Z39" s="1472"/>
      <c r="AA39" s="1475"/>
      <c r="AB39" s="1472"/>
      <c r="AC39" s="1472"/>
      <c r="AD39" s="1472"/>
    </row>
    <row customHeight="1" ht="18">
      <c r="A40" s="1471"/>
      <c r="B40" s="1525">
        <v>23</v>
      </c>
      <c r="C40" s="1469">
        <v>13</v>
      </c>
      <c r="D40" s="1593"/>
      <c r="E40" s="1469"/>
      <c r="F40" s="1469"/>
      <c r="G40" s="1469"/>
      <c r="H40" s="1520"/>
      <c r="I40" s="1631" t="str">
        <f>INDEX(TEMPLATE_NUMBER_POINT_FHD,B40,MATCH(TEMPLATE_SPHERE,TEMPLATE_SPHERE_LIST_FOR_NOTE,0))</f>
        <v>2.10</v>
      </c>
      <c r="J40" s="1631" t="str">
        <f>INDEX(TEMPLATE_DATA_POINT_FHD,B40,MATCH(TEMPLATE_SPHERE,TEMPLATE_SPHERE_LIST_FOR_NOTE,0))</f>
        <v>Общепроизводственные расходы, в том числе:</v>
      </c>
      <c r="K40" s="1631" t="str">
        <f>INDEX(TEMPLATE_NOTE_POINT_FHD,B40,MATCH(TEMPLATE_SPHERE,TEMPLATE_SPHERE_LIST_FOR_NOTE,0))</f>
        <v>Указывается общая сумма общепроизводственных расходов.</v>
      </c>
      <c r="L40" s="1470" t="str">
        <f>IF(I40=0,"",I40)</f>
        <v>2.10</v>
      </c>
      <c r="M40" s="1470" t="str">
        <f>IF(J40=0,"",J40)</f>
        <v>Общепроизводственные расходы, в том числе:</v>
      </c>
      <c r="N40" s="1470" t="str">
        <f>IF(K40=0,"",K40)</f>
        <v>Указывается общая сумма общепроизводственных расходов.</v>
      </c>
      <c r="O40" s="1583" t="s">
        <v>2277</v>
      </c>
      <c r="P40" s="1583" t="s">
        <v>763</v>
      </c>
      <c r="Q40" s="1583" t="s">
        <v>2277</v>
      </c>
      <c r="R40" s="1583" t="s">
        <v>763</v>
      </c>
      <c r="S40" s="1583"/>
      <c r="T40" s="1469" t="s">
        <v>2278</v>
      </c>
      <c r="U40" s="1469" t="s">
        <v>2278</v>
      </c>
      <c r="V40" s="1469" t="s">
        <v>2278</v>
      </c>
      <c r="W40" s="1469" t="s">
        <v>2278</v>
      </c>
      <c r="X40" s="1469"/>
      <c r="Y40" s="1626"/>
      <c r="Z40" s="1472" t="s">
        <v>2279</v>
      </c>
      <c r="AA40" s="1475" t="s">
        <v>2279</v>
      </c>
      <c r="AB40" s="1475" t="s">
        <v>2279</v>
      </c>
      <c r="AC40" s="1475" t="s">
        <v>2279</v>
      </c>
      <c r="AD40" s="1472"/>
    </row>
    <row customHeight="1" ht="27">
      <c r="A41" s="1471"/>
      <c r="B41" s="1525">
        <v>24</v>
      </c>
      <c r="C41" s="1469" t="s">
        <v>2280</v>
      </c>
      <c r="D41" s="1593"/>
      <c r="E41" s="1469"/>
      <c r="F41" s="1469"/>
      <c r="G41" s="1469"/>
      <c r="H41" s="1517"/>
      <c r="I41" s="1631" t="str">
        <f>INDEX(TEMPLATE_NUMBER_POINT_FHD,B41,MATCH(TEMPLATE_SPHERE,TEMPLATE_SPHERE_LIST_FOR_NOTE,0))</f>
        <v>2.10.1</v>
      </c>
      <c r="J41" s="1631" t="str">
        <f>INDEX(TEMPLATE_DATA_POINT_FHD,B41,MATCH(TEMPLATE_SPHERE,TEMPLATE_SPHERE_LIST_FOR_NOTE,0))</f>
        <v>Расходы на текущий ремонт</v>
      </c>
      <c r="K41" s="1631" t="str">
        <f>INDEX(TEMPLATE_NOTE_POINT_FHD,B41,MATCH(TEMPLATE_SPHERE,TEMPLATE_SPHERE_LIST_FOR_NOTE,0))</f>
        <v>Указываются расходы на текущий ремонт, отнесенные к общепроизводственным расходам.</v>
      </c>
      <c r="L41" s="1470" t="str">
        <f>IF(I41=0,"",I41)</f>
        <v>2.10.1</v>
      </c>
      <c r="M41" s="1470" t="str">
        <f>IF(J41=0,"",J41)</f>
        <v>Расходы на текущий ремонт</v>
      </c>
      <c r="N41" s="1470" t="str">
        <f>IF(K41=0,"",K41)</f>
        <v>Указываются расходы на текущий ремонт, отнесенные к общепроизводственным расходам.</v>
      </c>
      <c r="O41" s="1583" t="s">
        <v>2281</v>
      </c>
      <c r="P41" s="1583" t="s">
        <v>2268</v>
      </c>
      <c r="Q41" s="1583" t="s">
        <v>2281</v>
      </c>
      <c r="R41" s="1583" t="s">
        <v>2268</v>
      </c>
      <c r="S41" s="1583"/>
      <c r="T41" s="1469" t="s">
        <v>2282</v>
      </c>
      <c r="U41" s="1469" t="s">
        <v>2282</v>
      </c>
      <c r="V41" s="1469" t="s">
        <v>2282</v>
      </c>
      <c r="W41" s="1469" t="s">
        <v>2282</v>
      </c>
      <c r="X41" s="1469"/>
      <c r="Y41" s="1626"/>
      <c r="Z41" s="1472" t="s">
        <v>2283</v>
      </c>
      <c r="AA41" s="1472" t="s">
        <v>2283</v>
      </c>
      <c r="AB41" s="1472" t="s">
        <v>2283</v>
      </c>
      <c r="AC41" s="1472" t="s">
        <v>2283</v>
      </c>
      <c r="AD41" s="1472"/>
    </row>
    <row customHeight="1" ht="27">
      <c r="A42" s="1471"/>
      <c r="B42" s="1525">
        <v>25</v>
      </c>
      <c r="C42" s="1469" t="s">
        <v>2284</v>
      </c>
      <c r="D42" s="1593"/>
      <c r="E42" s="1469"/>
      <c r="F42" s="1469"/>
      <c r="G42" s="1469"/>
      <c r="H42" s="1517"/>
      <c r="I42" s="1631" t="str">
        <f>INDEX(TEMPLATE_NUMBER_POINT_FHD,B42,MATCH(TEMPLATE_SPHERE,TEMPLATE_SPHERE_LIST_FOR_NOTE,0))</f>
        <v>2.10.2</v>
      </c>
      <c r="J42" s="1631" t="str">
        <f>INDEX(TEMPLATE_DATA_POINT_FHD,B42,MATCH(TEMPLATE_SPHERE,TEMPLATE_SPHERE_LIST_FOR_NOTE,0))</f>
        <v>Расходы на капитальный ремонт</v>
      </c>
      <c r="K42" s="1631" t="str">
        <f>INDEX(TEMPLATE_NOTE_POINT_FHD,B42,MATCH(TEMPLATE_SPHERE,TEMPLATE_SPHERE_LIST_FOR_NOTE,0))</f>
        <v>Указываются расходы на капитальный ремонт, отнесенные к общепроизводственным расходам.</v>
      </c>
      <c r="L42" s="1470" t="str">
        <f>IF(I42=0,"",I42)</f>
        <v>2.10.2</v>
      </c>
      <c r="M42" s="1470" t="str">
        <f>IF(J42=0,"",J42)</f>
        <v>Расходы на капитальный ремонт</v>
      </c>
      <c r="N42" s="1470" t="str">
        <f>IF(K42=0,"",K42)</f>
        <v>Указываются расходы на капитальный ремонт, отнесенные к общепроизводственным расходам.</v>
      </c>
      <c r="O42" s="1583" t="s">
        <v>2285</v>
      </c>
      <c r="P42" s="1583" t="s">
        <v>2271</v>
      </c>
      <c r="Q42" s="1583" t="s">
        <v>2285</v>
      </c>
      <c r="R42" s="1583" t="s">
        <v>2271</v>
      </c>
      <c r="S42" s="1583"/>
      <c r="T42" s="1469" t="s">
        <v>2286</v>
      </c>
      <c r="U42" s="1469" t="s">
        <v>2286</v>
      </c>
      <c r="V42" s="1469" t="s">
        <v>2286</v>
      </c>
      <c r="W42" s="1469" t="s">
        <v>2286</v>
      </c>
      <c r="X42" s="1469"/>
      <c r="Y42" s="1626"/>
      <c r="Z42" s="1472" t="s">
        <v>2287</v>
      </c>
      <c r="AA42" s="1472" t="s">
        <v>2287</v>
      </c>
      <c r="AB42" s="1472" t="s">
        <v>2287</v>
      </c>
      <c r="AC42" s="1472" t="s">
        <v>2287</v>
      </c>
      <c r="AD42" s="1472"/>
    </row>
    <row customHeight="1" ht="18">
      <c r="A43" s="1471"/>
      <c r="B43" s="1525">
        <v>26</v>
      </c>
      <c r="C43" s="1469">
        <v>14</v>
      </c>
      <c r="D43" s="1593"/>
      <c r="E43" s="1469"/>
      <c r="F43" s="1469"/>
      <c r="G43" s="1469"/>
      <c r="H43" s="1517"/>
      <c r="I43" s="1631" t="str">
        <f>INDEX(TEMPLATE_NUMBER_POINT_FHD,B43,MATCH(TEMPLATE_SPHERE,TEMPLATE_SPHERE_LIST_FOR_NOTE,0))</f>
        <v>2.11</v>
      </c>
      <c r="J43" s="1631" t="str">
        <f>INDEX(TEMPLATE_DATA_POINT_FHD,B43,MATCH(TEMPLATE_SPHERE,TEMPLATE_SPHERE_LIST_FOR_NOTE,0))</f>
        <v>Общехозяйственные расходы, в том числе:</v>
      </c>
      <c r="K43" s="1631" t="str">
        <f>INDEX(TEMPLATE_NOTE_POINT_FHD,B43,MATCH(TEMPLATE_SPHERE,TEMPLATE_SPHERE_LIST_FOR_NOTE,0))</f>
        <v>Указывается общая сумма общехозяйственных расходов.</v>
      </c>
      <c r="L43" s="1470" t="str">
        <f>IF(I43=0,"",I43)</f>
        <v>2.11</v>
      </c>
      <c r="M43" s="1470" t="str">
        <f>IF(J43=0,"",J43)</f>
        <v>Общехозяйственные расходы, в том числе:</v>
      </c>
      <c r="N43" s="1470" t="str">
        <f>IF(K43=0,"",K43)</f>
        <v>Указывается общая сумма общехозяйственных расходов.</v>
      </c>
      <c r="O43" s="1583" t="s">
        <v>2288</v>
      </c>
      <c r="P43" s="1583" t="s">
        <v>767</v>
      </c>
      <c r="Q43" s="1583" t="s">
        <v>2288</v>
      </c>
      <c r="R43" s="1583" t="s">
        <v>767</v>
      </c>
      <c r="S43" s="1583"/>
      <c r="T43" s="1469" t="s">
        <v>2289</v>
      </c>
      <c r="U43" s="1469" t="s">
        <v>2289</v>
      </c>
      <c r="V43" s="1469" t="s">
        <v>2289</v>
      </c>
      <c r="W43" s="1469" t="s">
        <v>2289</v>
      </c>
      <c r="X43" s="1469"/>
      <c r="Y43" s="1626"/>
      <c r="Z43" s="1472" t="s">
        <v>2290</v>
      </c>
      <c r="AA43" s="1472" t="s">
        <v>2290</v>
      </c>
      <c r="AB43" s="1472" t="s">
        <v>2290</v>
      </c>
      <c r="AC43" s="1472" t="s">
        <v>2290</v>
      </c>
      <c r="AD43" s="1472"/>
    </row>
    <row customHeight="1" ht="27">
      <c r="A44" s="1471"/>
      <c r="B44" s="1525">
        <v>27</v>
      </c>
      <c r="C44" s="1469" t="s">
        <v>2291</v>
      </c>
      <c r="D44" s="1593"/>
      <c r="E44" s="1469"/>
      <c r="F44" s="1469"/>
      <c r="G44" s="1469"/>
      <c r="H44" s="1517"/>
      <c r="I44" s="1631" t="str">
        <f>INDEX(TEMPLATE_NUMBER_POINT_FHD,B44,MATCH(TEMPLATE_SPHERE,TEMPLATE_SPHERE_LIST_FOR_NOTE,0))</f>
        <v>2.11.1</v>
      </c>
      <c r="J44" s="1631" t="str">
        <f>INDEX(TEMPLATE_DATA_POINT_FHD,B44,MATCH(TEMPLATE_SPHERE,TEMPLATE_SPHERE_LIST_FOR_NOTE,0))</f>
        <v>Расходы на текущий ремонт</v>
      </c>
      <c r="K44" s="1631" t="str">
        <f>INDEX(TEMPLATE_NOTE_POINT_FHD,B44,MATCH(TEMPLATE_SPHERE,TEMPLATE_SPHERE_LIST_FOR_NOTE,0))</f>
        <v>Указываются расходы на текущий ремонт, отнесенные к общехозяйственным расходам.</v>
      </c>
      <c r="L44" s="1470" t="str">
        <f>IF(I44=0,"",I44)</f>
        <v>2.11.1</v>
      </c>
      <c r="M44" s="1470" t="str">
        <f>IF(J44=0,"",J44)</f>
        <v>Расходы на текущий ремонт</v>
      </c>
      <c r="N44" s="1470" t="str">
        <f>IF(K44=0,"",K44)</f>
        <v>Указываются расходы на текущий ремонт, отнесенные к общехозяйственным расходам.</v>
      </c>
      <c r="O44" s="1583" t="s">
        <v>2292</v>
      </c>
      <c r="P44" s="1583" t="s">
        <v>2293</v>
      </c>
      <c r="Q44" s="1583" t="s">
        <v>2292</v>
      </c>
      <c r="R44" s="1583" t="s">
        <v>2293</v>
      </c>
      <c r="S44" s="1583"/>
      <c r="T44" s="1469" t="s">
        <v>2282</v>
      </c>
      <c r="U44" s="1469" t="s">
        <v>2282</v>
      </c>
      <c r="V44" s="1469" t="s">
        <v>2282</v>
      </c>
      <c r="W44" s="1469" t="s">
        <v>2282</v>
      </c>
      <c r="X44" s="1469"/>
      <c r="Y44" s="1626"/>
      <c r="Z44" s="1472" t="s">
        <v>2294</v>
      </c>
      <c r="AA44" s="1472" t="s">
        <v>2294</v>
      </c>
      <c r="AB44" s="1472" t="s">
        <v>2294</v>
      </c>
      <c r="AC44" s="1472" t="s">
        <v>2294</v>
      </c>
      <c r="AD44" s="1472"/>
    </row>
    <row customHeight="1" ht="27">
      <c r="A45" s="1471"/>
      <c r="B45" s="1525">
        <v>28</v>
      </c>
      <c r="C45" s="1469" t="s">
        <v>2295</v>
      </c>
      <c r="D45" s="1593"/>
      <c r="E45" s="1469"/>
      <c r="F45" s="1469"/>
      <c r="G45" s="1469"/>
      <c r="H45" s="1517"/>
      <c r="I45" s="1631" t="str">
        <f>INDEX(TEMPLATE_NUMBER_POINT_FHD,B45,MATCH(TEMPLATE_SPHERE,TEMPLATE_SPHERE_LIST_FOR_NOTE,0))</f>
        <v>2.11.2</v>
      </c>
      <c r="J45" s="1631" t="str">
        <f>INDEX(TEMPLATE_DATA_POINT_FHD,B45,MATCH(TEMPLATE_SPHERE,TEMPLATE_SPHERE_LIST_FOR_NOTE,0))</f>
        <v>Расходы на капитальный ремонт</v>
      </c>
      <c r="K45" s="1631" t="str">
        <f>INDEX(TEMPLATE_NOTE_POINT_FHD,B45,MATCH(TEMPLATE_SPHERE,TEMPLATE_SPHERE_LIST_FOR_NOTE,0))</f>
        <v>Указываются расходы на капитальный ремонт, отнесенные к общехозяйственным расходам.</v>
      </c>
      <c r="L45" s="1470" t="str">
        <f>IF(I45=0,"",I45)</f>
        <v>2.11.2</v>
      </c>
      <c r="M45" s="1470" t="str">
        <f>IF(J45=0,"",J45)</f>
        <v>Расходы на капитальный ремонт</v>
      </c>
      <c r="N45" s="1470" t="str">
        <f>IF(K45=0,"",K45)</f>
        <v>Указываются расходы на капитальный ремонт, отнесенные к общехозяйственным расходам.</v>
      </c>
      <c r="O45" s="1583" t="s">
        <v>2296</v>
      </c>
      <c r="P45" s="1583" t="s">
        <v>2297</v>
      </c>
      <c r="Q45" s="1583" t="s">
        <v>2296</v>
      </c>
      <c r="R45" s="1583" t="s">
        <v>2297</v>
      </c>
      <c r="S45" s="1583"/>
      <c r="T45" s="1469" t="s">
        <v>2286</v>
      </c>
      <c r="U45" s="1469" t="s">
        <v>2286</v>
      </c>
      <c r="V45" s="1469" t="s">
        <v>2286</v>
      </c>
      <c r="W45" s="1469" t="s">
        <v>2286</v>
      </c>
      <c r="X45" s="1469"/>
      <c r="Y45" s="1626"/>
      <c r="Z45" s="1472" t="s">
        <v>2298</v>
      </c>
      <c r="AA45" s="1472" t="s">
        <v>2298</v>
      </c>
      <c r="AB45" s="1472" t="s">
        <v>2298</v>
      </c>
      <c r="AC45" s="1472" t="s">
        <v>2298</v>
      </c>
      <c r="AD45" s="1472"/>
    </row>
    <row customHeight="1" ht="54">
      <c r="A46" s="1471"/>
      <c r="B46" s="1525">
        <v>29</v>
      </c>
      <c r="C46" s="1469">
        <v>15</v>
      </c>
      <c r="D46" s="1593"/>
      <c r="E46" s="1469"/>
      <c r="F46" s="1469"/>
      <c r="G46" s="1469"/>
      <c r="H46" s="1517"/>
      <c r="I46" s="1631" t="str">
        <f>INDEX(TEMPLATE_NUMBER_POINT_FHD,B46,MATCH(TEMPLATE_SPHERE,TEMPLATE_SPHERE_LIST_FOR_NOTE,0))</f>
        <v>2.12</v>
      </c>
      <c r="J46" s="1631" t="str">
        <f>INDEX(TEMPLATE_DATA_POINT_FHD,B46,MATCH(TEMPLATE_SPHERE,TEMPLATE_SPHERE_LIST_FOR_NOTE,0))</f>
        <v>Расходы на капитальный и текущий ремонт основных производственных средств</v>
      </c>
      <c r="K46" s="1631"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470" t="str">
        <f>IF(I46=0,"",I46)</f>
        <v>2.12</v>
      </c>
      <c r="M46" s="1470" t="str">
        <f>IF(J46=0,"",J46)</f>
        <v>Расходы на капитальный и текущий ремонт основных производственных средств</v>
      </c>
      <c r="N46" s="1470"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583" t="s">
        <v>2299</v>
      </c>
      <c r="P46" s="1583" t="s">
        <v>2277</v>
      </c>
      <c r="Q46" s="1583" t="s">
        <v>2299</v>
      </c>
      <c r="R46" s="1583" t="s">
        <v>2277</v>
      </c>
      <c r="S46" s="1583"/>
      <c r="T46" s="14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469" t="s">
        <v>2300</v>
      </c>
      <c r="V46" s="1469" t="s">
        <v>2300</v>
      </c>
      <c r="W46" s="1469" t="s">
        <v>2300</v>
      </c>
      <c r="X46" s="1469"/>
      <c r="Y46" s="1626"/>
      <c r="Z46" s="1472" t="s">
        <v>2301</v>
      </c>
      <c r="AA46" s="1472" t="s">
        <v>2302</v>
      </c>
      <c r="AB46" s="1472" t="s">
        <v>2302</v>
      </c>
      <c r="AC46" s="1472" t="s">
        <v>2302</v>
      </c>
      <c r="AD46" s="1472"/>
    </row>
    <row customHeight="1" ht="54">
      <c r="A47" s="1471"/>
      <c r="B47" s="1525">
        <v>30</v>
      </c>
      <c r="C47" s="1469" t="s">
        <v>2303</v>
      </c>
      <c r="D47" s="1593"/>
      <c r="E47" s="1469"/>
      <c r="F47" s="1469"/>
      <c r="G47" s="1469"/>
      <c r="H47" s="1517"/>
      <c r="I47" s="1631" t="str">
        <f>INDEX(TEMPLATE_NUMBER_POINT_FHD,B47,MATCH(TEMPLATE_SPHERE,TEMPLATE_SPHERE_LIST_FOR_NOTE,0))</f>
        <v>2.12.1</v>
      </c>
      <c r="J47" s="1631"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631">
        <f>INDEX(TEMPLATE_NOTE_POINT_FHD,B47,MATCH(TEMPLATE_SPHERE,TEMPLATE_SPHERE_LIST_FOR_NOTE,0))</f>
        <v>0</v>
      </c>
      <c r="L47" s="1470" t="str">
        <f>IF(I47=0,"",I47)</f>
        <v>2.12.1</v>
      </c>
      <c r="M47" s="147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470" t="str">
        <f>IF(K47=0,"",K47)</f>
        <v/>
      </c>
      <c r="O47" s="1583" t="s">
        <v>2304</v>
      </c>
      <c r="P47" s="1583" t="s">
        <v>2281</v>
      </c>
      <c r="Q47" s="1583" t="s">
        <v>2304</v>
      </c>
      <c r="R47" s="1583" t="s">
        <v>2281</v>
      </c>
      <c r="S47" s="1583"/>
      <c r="T47" s="1469" t="s">
        <v>2305</v>
      </c>
      <c r="U47" s="1469" t="s">
        <v>2305</v>
      </c>
      <c r="V47" s="1469" t="s">
        <v>2305</v>
      </c>
      <c r="W47" s="1469" t="s">
        <v>2305</v>
      </c>
      <c r="X47" s="1469"/>
      <c r="Y47" s="1626"/>
      <c r="Z47" s="1472"/>
      <c r="AA47" s="1475"/>
      <c r="AB47" s="1475"/>
      <c r="AC47" s="1475"/>
      <c r="AD47" s="1472"/>
    </row>
    <row customHeight="1" ht="54">
      <c r="A48" s="1471"/>
      <c r="B48" s="1525">
        <v>31</v>
      </c>
      <c r="C48" s="1469">
        <v>16</v>
      </c>
      <c r="D48" s="1593"/>
      <c r="E48" s="1469"/>
      <c r="F48" s="1469"/>
      <c r="G48" s="1469"/>
      <c r="H48" s="1517"/>
      <c r="I48" s="1631">
        <f>INDEX(TEMPLATE_NUMBER_POINT_FHD,B48,MATCH(TEMPLATE_SPHERE,TEMPLATE_SPHERE_LIST_FOR_NOTE,0))</f>
        <v>0</v>
      </c>
      <c r="J48" s="1631">
        <f>INDEX(TEMPLATE_DATA_POINT_FHD,B48,MATCH(TEMPLATE_SPHERE,TEMPLATE_SPHERE_LIST_FOR_NOTE,0))</f>
        <v>0</v>
      </c>
      <c r="K48" s="1631">
        <f>INDEX(TEMPLATE_NOTE_POINT_FHD,B48,MATCH(TEMPLATE_SPHERE,TEMPLATE_SPHERE_LIST_FOR_NOTE,0))</f>
        <v>0</v>
      </c>
      <c r="L48" s="1470" t="str">
        <f>IF(I48=0,"",I48)</f>
        <v/>
      </c>
      <c r="M48" s="1470" t="str">
        <f>IF(J48=0,"",J48)</f>
        <v/>
      </c>
      <c r="N48" s="1470" t="str">
        <f>IF(K48=0,"",K48)</f>
        <v/>
      </c>
      <c r="O48" s="1583"/>
      <c r="P48" s="1583" t="s">
        <v>2288</v>
      </c>
      <c r="Q48" s="1583" t="s">
        <v>2306</v>
      </c>
      <c r="R48" s="1583" t="s">
        <v>2288</v>
      </c>
      <c r="S48" s="1583"/>
      <c r="T48" s="1469"/>
      <c r="U48" s="1469" t="s">
        <v>2307</v>
      </c>
      <c r="V48" s="1469" t="s">
        <v>2308</v>
      </c>
      <c r="W48" s="1469" t="s">
        <v>2308</v>
      </c>
      <c r="X48" s="1469"/>
      <c r="Y48" s="1626"/>
      <c r="Z48" s="1472"/>
      <c r="AA48" s="1475" t="s">
        <v>2302</v>
      </c>
      <c r="AB48" s="1475" t="s">
        <v>2302</v>
      </c>
      <c r="AC48" s="1475" t="s">
        <v>2302</v>
      </c>
      <c r="AD48" s="1472"/>
    </row>
    <row customHeight="1" ht="54">
      <c r="A49" s="1471"/>
      <c r="B49" s="1525">
        <v>32</v>
      </c>
      <c r="C49" s="1469" t="s">
        <v>2309</v>
      </c>
      <c r="D49" s="1593"/>
      <c r="E49" s="1469"/>
      <c r="F49" s="1469"/>
      <c r="G49" s="1469"/>
      <c r="H49" s="1517"/>
      <c r="I49" s="1631">
        <f>INDEX(TEMPLATE_NUMBER_POINT_FHD,B49,MATCH(TEMPLATE_SPHERE,TEMPLATE_SPHERE_LIST_FOR_NOTE,0))</f>
        <v>0</v>
      </c>
      <c r="J49" s="1631">
        <f>INDEX(TEMPLATE_DATA_POINT_FHD,B49,MATCH(TEMPLATE_SPHERE,TEMPLATE_SPHERE_LIST_FOR_NOTE,0))</f>
        <v>0</v>
      </c>
      <c r="K49" s="1631">
        <f>INDEX(TEMPLATE_NOTE_POINT_FHD,B49,MATCH(TEMPLATE_SPHERE,TEMPLATE_SPHERE_LIST_FOR_NOTE,0))</f>
        <v>0</v>
      </c>
      <c r="L49" s="1470" t="str">
        <f>IF(I49=0,"",I49)</f>
        <v/>
      </c>
      <c r="M49" s="1470" t="str">
        <f>IF(J49=0,"",J49)</f>
        <v/>
      </c>
      <c r="N49" s="1470" t="str">
        <f>IF(K49=0,"",K49)</f>
        <v/>
      </c>
      <c r="O49" s="1583"/>
      <c r="P49" s="1583" t="s">
        <v>2292</v>
      </c>
      <c r="Q49" s="1583" t="s">
        <v>2310</v>
      </c>
      <c r="R49" s="1583" t="s">
        <v>2292</v>
      </c>
      <c r="S49" s="1583"/>
      <c r="T49" s="1469"/>
      <c r="U49" s="1469" t="s">
        <v>2305</v>
      </c>
      <c r="V49" s="1469" t="s">
        <v>2305</v>
      </c>
      <c r="W49" s="1469" t="s">
        <v>2305</v>
      </c>
      <c r="X49" s="1469"/>
      <c r="Y49" s="1626"/>
      <c r="Z49" s="1472"/>
      <c r="AA49" s="1475"/>
      <c r="AB49" s="1475"/>
      <c r="AC49" s="1475"/>
      <c r="AD49" s="1472"/>
    </row>
    <row customHeight="1" ht="126">
      <c r="A50" s="1471"/>
      <c r="B50" s="1525">
        <v>33</v>
      </c>
      <c r="C50" s="1469">
        <v>17</v>
      </c>
      <c r="D50" s="1593"/>
      <c r="E50" s="1469"/>
      <c r="F50" s="1469"/>
      <c r="G50" s="1469"/>
      <c r="H50" s="1517"/>
      <c r="I50" s="1631" t="str">
        <f>INDEX(TEMPLATE_NUMBER_POINT_FHD,B50,MATCH(TEMPLATE_SPHERE,TEMPLATE_SPHERE_LIST_FOR_NOTE,0))</f>
        <v>2.13</v>
      </c>
      <c r="J50" s="1631"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631"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470" t="str">
        <f>IF(I50=0,"",I50)</f>
        <v>2.13</v>
      </c>
      <c r="M50" s="1470"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470"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583" t="s">
        <v>2306</v>
      </c>
      <c r="P50" s="1583" t="s">
        <v>2299</v>
      </c>
      <c r="Q50" s="1583" t="s">
        <v>2311</v>
      </c>
      <c r="R50" s="1583" t="s">
        <v>2299</v>
      </c>
      <c r="S50" s="1583"/>
      <c r="T50" s="1469" t="s">
        <v>2312</v>
      </c>
      <c r="U50" s="1469" t="s">
        <v>2313</v>
      </c>
      <c r="V50" s="1469" t="s">
        <v>2314</v>
      </c>
      <c r="W50" s="1469" t="s">
        <v>2315</v>
      </c>
      <c r="X50" s="1469"/>
      <c r="Y50" s="1626"/>
      <c r="Z50" s="1472" t="s">
        <v>2316</v>
      </c>
      <c r="AA50" s="1475" t="s">
        <v>2317</v>
      </c>
      <c r="AB50" s="1475" t="s">
        <v>2317</v>
      </c>
      <c r="AC50" s="1475" t="s">
        <v>2317</v>
      </c>
      <c r="AD50" s="1472"/>
    </row>
    <row customHeight="1" ht="27">
      <c r="A51" s="1471"/>
      <c r="B51" s="1525">
        <v>34</v>
      </c>
      <c r="C51" s="1469" t="s">
        <v>2318</v>
      </c>
      <c r="D51" s="1593"/>
      <c r="E51" s="1469"/>
      <c r="F51" s="1469"/>
      <c r="G51" s="1469"/>
      <c r="H51" s="1517"/>
      <c r="I51" s="1631" t="str">
        <f>INDEX(TEMPLATE_NUMBER_POINT_FHD,B51,MATCH(TEMPLATE_SPHERE,TEMPLATE_SPHERE_LIST_FOR_NOTE,0))</f>
        <v>3</v>
      </c>
      <c r="J51" s="1631"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631">
        <f>INDEX(TEMPLATE_NOTE_POINT_FHD,B51,MATCH(TEMPLATE_SPHERE,TEMPLATE_SPHERE_LIST_FOR_NOTE,0))</f>
        <v>0</v>
      </c>
      <c r="L51" s="1470" t="str">
        <f>IF(I51=0,"",I51)</f>
        <v>3</v>
      </c>
      <c r="M51" s="1470" t="str">
        <f>IF(J51=0,"",J51)</f>
        <v>Валовая прибыль (убытки) от реализации товаров и оказания услуг по регулируемому виду деятельности</v>
      </c>
      <c r="N51" s="1470" t="str">
        <f>IF(K51=0,"",K51)</f>
        <v/>
      </c>
      <c r="O51" s="1583" t="s">
        <v>90</v>
      </c>
      <c r="P51" s="1583"/>
      <c r="Q51" s="1583"/>
      <c r="R51" s="1583"/>
      <c r="S51" s="1583"/>
      <c r="T51" s="1469" t="s">
        <v>2319</v>
      </c>
      <c r="U51" s="1469"/>
      <c r="V51" s="1469"/>
      <c r="W51" s="1469"/>
      <c r="X51" s="1469"/>
      <c r="Y51" s="1626"/>
      <c r="Z51" s="1472"/>
      <c r="AA51" s="1475"/>
      <c r="AB51" s="1475"/>
      <c r="AC51" s="1475"/>
      <c r="AD51" s="1472"/>
    </row>
    <row customHeight="1" ht="36">
      <c r="A52" s="1471"/>
      <c r="B52" s="1525">
        <v>35</v>
      </c>
      <c r="C52" s="1469" t="s">
        <v>2212</v>
      </c>
      <c r="D52" s="1593" t="s">
        <v>2212</v>
      </c>
      <c r="E52" s="1469" t="s">
        <v>2212</v>
      </c>
      <c r="F52" s="1469" t="s">
        <v>2212</v>
      </c>
      <c r="G52" s="1469"/>
      <c r="H52" s="1517"/>
      <c r="I52" s="1631" t="str">
        <f>INDEX(TEMPLATE_NUMBER_POINT_FHD,B52,MATCH(TEMPLATE_SPHERE,TEMPLATE_SPHERE_LIST_FOR_NOTE,0))</f>
        <v>4</v>
      </c>
      <c r="J52" s="1631" t="str">
        <f>INDEX(TEMPLATE_DATA_POINT_FHD,B52,MATCH(TEMPLATE_SPHERE,TEMPLATE_SPHERE_LIST_FOR_NOTE,0))</f>
        <v>Чистая прибыль, полученная от регулируемого вида деятельности, в том числе:</v>
      </c>
      <c r="K52" s="1631" t="str">
        <f>INDEX(TEMPLATE_NOTE_POINT_FHD,B52,MATCH(TEMPLATE_SPHERE,TEMPLATE_SPHERE_LIST_FOR_NOTE,0))</f>
        <v>Указывается общая сумма чистой прибыли, полученной от регулируемого вида деятельности.</v>
      </c>
      <c r="L52" s="1470" t="str">
        <f>IF(I52=0,"",I52)</f>
        <v>4</v>
      </c>
      <c r="M52" s="1470" t="str">
        <f>IF(J52=0,"",J52)</f>
        <v>Чистая прибыль, полученная от регулируемого вида деятельности, в том числе:</v>
      </c>
      <c r="N52" s="1470" t="str">
        <f>IF(K52=0,"",K52)</f>
        <v>Указывается общая сумма чистой прибыли, полученной от регулируемого вида деятельности.</v>
      </c>
      <c r="O52" s="1583" t="s">
        <v>91</v>
      </c>
      <c r="P52" s="1583" t="s">
        <v>90</v>
      </c>
      <c r="Q52" s="1583" t="s">
        <v>90</v>
      </c>
      <c r="R52" s="1583" t="s">
        <v>90</v>
      </c>
      <c r="S52" s="1583"/>
      <c r="T52" s="1469" t="s">
        <v>2320</v>
      </c>
      <c r="U52" s="1469" t="s">
        <v>2321</v>
      </c>
      <c r="V52" s="1469" t="s">
        <v>2322</v>
      </c>
      <c r="W52" s="1469" t="s">
        <v>2323</v>
      </c>
      <c r="X52" s="1469"/>
      <c r="Y52" s="1626"/>
      <c r="Z52" s="1472" t="s">
        <v>771</v>
      </c>
      <c r="AA52" s="1475" t="s">
        <v>771</v>
      </c>
      <c r="AB52" s="1475" t="s">
        <v>771</v>
      </c>
      <c r="AC52" s="1475" t="s">
        <v>771</v>
      </c>
      <c r="AD52" s="1472"/>
    </row>
    <row customHeight="1" ht="36">
      <c r="A53" s="1471"/>
      <c r="B53" s="1525">
        <v>36</v>
      </c>
      <c r="C53" s="1469">
        <v>1</v>
      </c>
      <c r="D53" s="1593"/>
      <c r="E53" s="1469"/>
      <c r="F53" s="1469"/>
      <c r="G53" s="1469"/>
      <c r="H53" s="1517"/>
      <c r="I53" s="1631" t="str">
        <f>INDEX(TEMPLATE_NUMBER_POINT_FHD,B53,MATCH(TEMPLATE_SPHERE,TEMPLATE_SPHERE_LIST_FOR_NOTE,0))</f>
        <v>4.1</v>
      </c>
      <c r="J53" s="1631"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631">
        <f>INDEX(TEMPLATE_NOTE_POINT_FHD,B53,MATCH(TEMPLATE_SPHERE,TEMPLATE_SPHERE_LIST_FOR_NOTE,0))</f>
        <v>0</v>
      </c>
      <c r="L53" s="1470" t="str">
        <f>IF(I53=0,"",I53)</f>
        <v>4.1</v>
      </c>
      <c r="M53" s="147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470" t="str">
        <f>IF(K53=0,"",K53)</f>
        <v/>
      </c>
      <c r="O53" s="1583" t="s">
        <v>775</v>
      </c>
      <c r="P53" s="1583" t="s">
        <v>342</v>
      </c>
      <c r="Q53" s="1583" t="s">
        <v>342</v>
      </c>
      <c r="R53" s="1583" t="s">
        <v>342</v>
      </c>
      <c r="S53" s="1583"/>
      <c r="T53" s="1469" t="s">
        <v>2324</v>
      </c>
      <c r="U53" s="1469" t="s">
        <v>2324</v>
      </c>
      <c r="V53" s="1469" t="s">
        <v>2324</v>
      </c>
      <c r="W53" s="1469" t="s">
        <v>2324</v>
      </c>
      <c r="X53" s="1469"/>
      <c r="Y53" s="1626"/>
      <c r="Z53" s="1472"/>
      <c r="AA53" s="1475"/>
      <c r="AB53" s="1472"/>
      <c r="AC53" s="1472"/>
      <c r="AD53" s="1472"/>
    </row>
    <row customHeight="1" ht="18">
      <c r="A54" s="1471"/>
      <c r="B54" s="1525">
        <v>37</v>
      </c>
      <c r="C54" s="1469" t="s">
        <v>2218</v>
      </c>
      <c r="D54" s="1593" t="s">
        <v>2218</v>
      </c>
      <c r="E54" s="1469" t="s">
        <v>2218</v>
      </c>
      <c r="F54" s="1469" t="s">
        <v>2218</v>
      </c>
      <c r="G54" s="1469"/>
      <c r="H54" s="1517"/>
      <c r="I54" s="1631" t="str">
        <f>INDEX(TEMPLATE_NUMBER_POINT_FHD,B54,MATCH(TEMPLATE_SPHERE,TEMPLATE_SPHERE_LIST_FOR_NOTE,0))</f>
        <v>5</v>
      </c>
      <c r="J54" s="1631" t="str">
        <f>INDEX(TEMPLATE_DATA_POINT_FHD,B54,MATCH(TEMPLATE_SPHERE,TEMPLATE_SPHERE_LIST_FOR_NOTE,0))</f>
        <v>Изменение стоимости основных фондов, в том числе:</v>
      </c>
      <c r="K54" s="1631" t="str">
        <f>INDEX(TEMPLATE_NOTE_POINT_FHD,B54,MATCH(TEMPLATE_SPHERE,TEMPLATE_SPHERE_LIST_FOR_NOTE,0))</f>
        <v>Указывается общее изменение стоимости основных фондов.</v>
      </c>
      <c r="L54" s="1470" t="str">
        <f>IF(I54=0,"",I54)</f>
        <v>5</v>
      </c>
      <c r="M54" s="1470" t="str">
        <f>IF(J54=0,"",J54)</f>
        <v>Изменение стоимости основных фондов, в том числе:</v>
      </c>
      <c r="N54" s="1470" t="str">
        <f>IF(K54=0,"",K54)</f>
        <v>Указывается общее изменение стоимости основных фондов.</v>
      </c>
      <c r="O54" s="1583" t="s">
        <v>119</v>
      </c>
      <c r="P54" s="1583" t="s">
        <v>91</v>
      </c>
      <c r="Q54" s="1583" t="s">
        <v>91</v>
      </c>
      <c r="R54" s="1583" t="s">
        <v>91</v>
      </c>
      <c r="S54" s="1583"/>
      <c r="T54" s="1469" t="s">
        <v>773</v>
      </c>
      <c r="U54" s="1469" t="s">
        <v>773</v>
      </c>
      <c r="V54" s="1469" t="s">
        <v>773</v>
      </c>
      <c r="W54" s="1469" t="s">
        <v>773</v>
      </c>
      <c r="X54" s="1469"/>
      <c r="Y54" s="1626"/>
      <c r="Z54" s="1472" t="s">
        <v>774</v>
      </c>
      <c r="AA54" s="1472" t="s">
        <v>774</v>
      </c>
      <c r="AB54" s="1472" t="s">
        <v>774</v>
      </c>
      <c r="AC54" s="1472" t="s">
        <v>774</v>
      </c>
      <c r="AD54" s="1472"/>
    </row>
    <row customHeight="1" ht="36">
      <c r="A55" s="1471"/>
      <c r="B55" s="1525">
        <v>38</v>
      </c>
      <c r="C55" s="1469">
        <v>1</v>
      </c>
      <c r="D55" s="1593"/>
      <c r="E55" s="1469"/>
      <c r="F55" s="1469"/>
      <c r="G55" s="1469"/>
      <c r="H55" s="1517"/>
      <c r="I55" s="1631" t="str">
        <f>INDEX(TEMPLATE_NUMBER_POINT_FHD,B55,MATCH(TEMPLATE_SPHERE,TEMPLATE_SPHERE_LIST_FOR_NOTE,0))</f>
        <v>5.1</v>
      </c>
      <c r="J55" s="1631" t="str">
        <f>INDEX(TEMPLATE_DATA_POINT_FHD,B55,MATCH(TEMPLATE_SPHERE,TEMPLATE_SPHERE_LIST_FOR_NOTE,0))</f>
        <v>за счет их ввода в эксплуатацию (вывода из эксплуатации)</v>
      </c>
      <c r="K55" s="1631"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470" t="str">
        <f>IF(I55=0,"",I55)</f>
        <v>5.1</v>
      </c>
      <c r="M55" s="1470" t="str">
        <f>IF(J55=0,"",J55)</f>
        <v>за счет их ввода в эксплуатацию (вывода из эксплуатации)</v>
      </c>
      <c r="N55" s="1470" t="str">
        <f>IF(K55=0,"",K55)</f>
        <v>Указываются общее изменение стоимости основных фондов за счет их ввода в эксплуатацию и вывода из эксплуатации.</v>
      </c>
      <c r="O55" s="1583" t="s">
        <v>331</v>
      </c>
      <c r="P55" s="1583" t="s">
        <v>775</v>
      </c>
      <c r="Q55" s="1583" t="s">
        <v>775</v>
      </c>
      <c r="R55" s="1583" t="s">
        <v>775</v>
      </c>
      <c r="S55" s="1583"/>
      <c r="T55" s="147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469" t="s">
        <v>2325</v>
      </c>
      <c r="V55" s="1469" t="s">
        <v>2325</v>
      </c>
      <c r="W55" s="1469" t="s">
        <v>2325</v>
      </c>
      <c r="X55" s="1469"/>
      <c r="Y55" s="1626"/>
      <c r="Z55" s="1472" t="s">
        <v>2326</v>
      </c>
      <c r="AA55" s="1472" t="s">
        <v>2326</v>
      </c>
      <c r="AB55" s="1472" t="s">
        <v>2326</v>
      </c>
      <c r="AC55" s="1472" t="s">
        <v>2326</v>
      </c>
      <c r="AD55" s="1472"/>
    </row>
    <row customHeight="1" ht="27">
      <c r="A56" s="1471"/>
      <c r="B56" s="1525">
        <v>39</v>
      </c>
      <c r="C56" s="1469" t="s">
        <v>1203</v>
      </c>
      <c r="D56" s="1593"/>
      <c r="E56" s="1469"/>
      <c r="F56" s="1469"/>
      <c r="G56" s="1469"/>
      <c r="H56" s="1517"/>
      <c r="I56" s="1631" t="str">
        <f>INDEX(TEMPLATE_NUMBER_POINT_FHD,B56,MATCH(TEMPLATE_SPHERE,TEMPLATE_SPHERE_LIST_FOR_NOTE,0))</f>
        <v>5.1.1</v>
      </c>
      <c r="J56" s="1631" t="str">
        <f>INDEX(TEMPLATE_DATA_POINT_FHD,B56,MATCH(TEMPLATE_SPHERE,TEMPLATE_SPHERE_LIST_FOR_NOTE,0))</f>
        <v>за счет их ввода в эксплуатацию</v>
      </c>
      <c r="K56" s="1631" t="str">
        <f>INDEX(TEMPLATE_NOTE_POINT_FHD,B56,MATCH(TEMPLATE_SPHERE,TEMPLATE_SPHERE_LIST_FOR_NOTE,0))</f>
        <v>Указываются изменение стоимости основных фондов за счет их ввода в эксплуатацию.</v>
      </c>
      <c r="L56" s="1470" t="str">
        <f>IF(I56=0,"",I56)</f>
        <v>5.1.1</v>
      </c>
      <c r="M56" s="1470" t="str">
        <f>IF(J56=0,"",J56)</f>
        <v>за счет их ввода в эксплуатацию</v>
      </c>
      <c r="N56" s="1470" t="str">
        <f>IF(K56=0,"",K56)</f>
        <v>Указываются изменение стоимости основных фондов за счет их ввода в эксплуатацию.</v>
      </c>
      <c r="O56" s="1583" t="s">
        <v>1321</v>
      </c>
      <c r="P56" s="1583" t="s">
        <v>778</v>
      </c>
      <c r="Q56" s="1583" t="s">
        <v>778</v>
      </c>
      <c r="R56" s="1583" t="s">
        <v>778</v>
      </c>
      <c r="S56" s="1583"/>
      <c r="T56" s="147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469" t="s">
        <v>2327</v>
      </c>
      <c r="V56" s="1469" t="s">
        <v>2327</v>
      </c>
      <c r="W56" s="1469" t="s">
        <v>2327</v>
      </c>
      <c r="X56" s="1469"/>
      <c r="Y56" s="1626"/>
      <c r="Z56" s="1472" t="s">
        <v>780</v>
      </c>
      <c r="AA56" s="1472" t="s">
        <v>780</v>
      </c>
      <c r="AB56" s="1472" t="s">
        <v>780</v>
      </c>
      <c r="AC56" s="1472" t="s">
        <v>780</v>
      </c>
      <c r="AD56" s="1472"/>
    </row>
    <row customHeight="1" ht="27">
      <c r="A57" s="1471"/>
      <c r="B57" s="1525">
        <v>40</v>
      </c>
      <c r="C57" s="1469" t="s">
        <v>1205</v>
      </c>
      <c r="D57" s="1593"/>
      <c r="E57" s="1469"/>
      <c r="F57" s="1469"/>
      <c r="G57" s="1469"/>
      <c r="H57" s="1517"/>
      <c r="I57" s="1631" t="str">
        <f>INDEX(TEMPLATE_NUMBER_POINT_FHD,B57,MATCH(TEMPLATE_SPHERE,TEMPLATE_SPHERE_LIST_FOR_NOTE,0))</f>
        <v>5.1.2</v>
      </c>
      <c r="J57" s="1631" t="str">
        <f>INDEX(TEMPLATE_DATA_POINT_FHD,B57,MATCH(TEMPLATE_SPHERE,TEMPLATE_SPHERE_LIST_FOR_NOTE,0))</f>
        <v>за счет их вывода в эксплуатацию</v>
      </c>
      <c r="K57" s="1631" t="str">
        <f>INDEX(TEMPLATE_NOTE_POINT_FHD,B57,MATCH(TEMPLATE_SPHERE,TEMPLATE_SPHERE_LIST_FOR_NOTE,0))</f>
        <v>Указываются изменение стоимости основных фондов за счет их вывода из эксплуатации.</v>
      </c>
      <c r="L57" s="1470" t="str">
        <f>IF(I57=0,"",I57)</f>
        <v>5.1.2</v>
      </c>
      <c r="M57" s="1470" t="str">
        <f>IF(J57=0,"",J57)</f>
        <v>за счет их вывода в эксплуатацию</v>
      </c>
      <c r="N57" s="1470" t="str">
        <f>IF(K57=0,"",K57)</f>
        <v>Указываются изменение стоимости основных фондов за счет их вывода из эксплуатации.</v>
      </c>
      <c r="O57" s="1583" t="s">
        <v>2328</v>
      </c>
      <c r="P57" s="1583" t="s">
        <v>781</v>
      </c>
      <c r="Q57" s="1583" t="s">
        <v>781</v>
      </c>
      <c r="R57" s="1583" t="s">
        <v>781</v>
      </c>
      <c r="S57" s="1583"/>
      <c r="T57" s="147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469" t="s">
        <v>2329</v>
      </c>
      <c r="V57" s="1469" t="s">
        <v>2329</v>
      </c>
      <c r="W57" s="1469" t="s">
        <v>2329</v>
      </c>
      <c r="X57" s="1469"/>
      <c r="Y57" s="1626"/>
      <c r="Z57" s="1472" t="s">
        <v>783</v>
      </c>
      <c r="AA57" s="1472" t="s">
        <v>783</v>
      </c>
      <c r="AB57" s="1472" t="s">
        <v>783</v>
      </c>
      <c r="AC57" s="1472" t="s">
        <v>783</v>
      </c>
      <c r="AD57" s="1472"/>
    </row>
    <row customHeight="1" ht="18">
      <c r="A58" s="1471"/>
      <c r="B58" s="1525">
        <v>41</v>
      </c>
      <c r="C58" s="1469">
        <v>2</v>
      </c>
      <c r="D58" s="1593"/>
      <c r="E58" s="1469"/>
      <c r="F58" s="1469"/>
      <c r="G58" s="1469"/>
      <c r="H58" s="1517"/>
      <c r="I58" s="1631" t="str">
        <f>INDEX(TEMPLATE_NUMBER_POINT_FHD,B58,MATCH(TEMPLATE_SPHERE,TEMPLATE_SPHERE_LIST_FOR_NOTE,0))</f>
        <v>5.2</v>
      </c>
      <c r="J58" s="1631" t="str">
        <f>INDEX(TEMPLATE_DATA_POINT_FHD,B58,MATCH(TEMPLATE_SPHERE,TEMPLATE_SPHERE_LIST_FOR_NOTE,0))</f>
        <v>за счет их переоценки</v>
      </c>
      <c r="K58" s="1631">
        <f>INDEX(TEMPLATE_NOTE_POINT_FHD,B58,MATCH(TEMPLATE_SPHERE,TEMPLATE_SPHERE_LIST_FOR_NOTE,0))</f>
        <v>0</v>
      </c>
      <c r="L58" s="1470" t="str">
        <f>IF(I58=0,"",I58)</f>
        <v>5.2</v>
      </c>
      <c r="M58" s="1470" t="str">
        <f>IF(J58=0,"",J58)</f>
        <v>за счет их переоценки</v>
      </c>
      <c r="N58" s="1470" t="str">
        <f>IF(K58=0,"",K58)</f>
        <v/>
      </c>
      <c r="O58" s="1583" t="s">
        <v>903</v>
      </c>
      <c r="P58" s="1583" t="s">
        <v>817</v>
      </c>
      <c r="Q58" s="1583" t="s">
        <v>817</v>
      </c>
      <c r="R58" s="1583" t="s">
        <v>817</v>
      </c>
      <c r="S58" s="1583"/>
      <c r="T58" s="1470" t="str">
        <f>IF(TITLE_TYPE_ORG="Регулируемая организация","Изменение стоимости основных фондов за счет их переоценки","за счет их переоценки")</f>
        <v>за счет их переоценки</v>
      </c>
      <c r="U58" s="1469" t="s">
        <v>2330</v>
      </c>
      <c r="V58" s="1469" t="s">
        <v>2330</v>
      </c>
      <c r="W58" s="1469" t="s">
        <v>2330</v>
      </c>
      <c r="X58" s="1469"/>
      <c r="Y58" s="1626"/>
      <c r="Z58" s="1472"/>
      <c r="AA58" s="1475"/>
      <c r="AB58" s="1472"/>
      <c r="AC58" s="1472"/>
      <c r="AD58" s="1472"/>
    </row>
    <row customHeight="1" ht="36">
      <c r="A59" s="1471"/>
      <c r="B59" s="1525">
        <v>42</v>
      </c>
      <c r="C59" s="1469">
        <v>3</v>
      </c>
      <c r="D59" s="1593" t="s">
        <v>2318</v>
      </c>
      <c r="E59" s="1469" t="s">
        <v>2318</v>
      </c>
      <c r="F59" s="1469" t="s">
        <v>2318</v>
      </c>
      <c r="G59" s="1469"/>
      <c r="H59" s="1517"/>
      <c r="I59" s="1631">
        <f>INDEX(TEMPLATE_NUMBER_POINT_FHD,B59,MATCH(TEMPLATE_SPHERE,TEMPLATE_SPHERE_LIST_FOR_NOTE,0))</f>
        <v>0</v>
      </c>
      <c r="J59" s="1631">
        <f>INDEX(TEMPLATE_DATA_POINT_FHD,B59,MATCH(TEMPLATE_SPHERE,TEMPLATE_SPHERE_LIST_FOR_NOTE,0))</f>
        <v>0</v>
      </c>
      <c r="K59" s="1631">
        <f>INDEX(TEMPLATE_NOTE_POINT_FHD,B59,MATCH(TEMPLATE_SPHERE,TEMPLATE_SPHERE_LIST_FOR_NOTE,0))</f>
        <v>0</v>
      </c>
      <c r="L59" s="1470" t="str">
        <f>IF(I59=0,"",I59)</f>
        <v/>
      </c>
      <c r="M59" s="1470" t="str">
        <f>IF(J59=0,"",J59)</f>
        <v/>
      </c>
      <c r="N59" s="1470" t="str">
        <f>IF(K59=0,"",K59)</f>
        <v/>
      </c>
      <c r="O59" s="1583"/>
      <c r="P59" s="1583" t="s">
        <v>119</v>
      </c>
      <c r="Q59" s="1583" t="s">
        <v>119</v>
      </c>
      <c r="R59" s="1583" t="s">
        <v>119</v>
      </c>
      <c r="S59" s="1583"/>
      <c r="T59" s="1469"/>
      <c r="U59" s="1469" t="s">
        <v>2331</v>
      </c>
      <c r="V59" s="1469" t="s">
        <v>2332</v>
      </c>
      <c r="W59" s="1469" t="s">
        <v>2333</v>
      </c>
      <c r="X59" s="1469"/>
      <c r="Y59" s="1626"/>
      <c r="Z59" s="1472"/>
      <c r="AA59" s="1475"/>
      <c r="AB59" s="1472"/>
      <c r="AC59" s="1472"/>
      <c r="AD59" s="1472"/>
    </row>
    <row customHeight="1" ht="81">
      <c r="A60" s="1471"/>
      <c r="B60" s="1525">
        <v>43</v>
      </c>
      <c r="C60" s="1469" t="s">
        <v>2334</v>
      </c>
      <c r="D60" s="1593" t="s">
        <v>2334</v>
      </c>
      <c r="E60" s="1469" t="s">
        <v>2334</v>
      </c>
      <c r="F60" s="1469" t="s">
        <v>2334</v>
      </c>
      <c r="G60" s="1469"/>
      <c r="H60" s="1517"/>
      <c r="I60" s="1631" t="str">
        <f>INDEX(TEMPLATE_NUMBER_POINT_FHD,B60,MATCH(TEMPLATE_SPHERE,TEMPLATE_SPHERE_LIST_FOR_NOTE,0))</f>
        <v>6</v>
      </c>
      <c r="J60" s="1631" t="str">
        <f>INDEX(TEMPLATE_DATA_POINT_FHD,B60,MATCH(TEMPLATE_SPHERE,TEMPLATE_SPHERE_LIST_FOR_NOTE,0))</f>
        <v>Годовая бухгалтерская (финансовая) отчетность, включая бухгалтерский баланс и приложения к нему</v>
      </c>
      <c r="K60" s="1631"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470" t="str">
        <f>IF(I60=0,"",I60)</f>
        <v>6</v>
      </c>
      <c r="M60" s="1470" t="str">
        <f>IF(J60=0,"",J60)</f>
        <v>Годовая бухгалтерская (финансовая) отчетность, включая бухгалтерский баланс и приложения к нему</v>
      </c>
      <c r="N60" s="1470"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583" t="s">
        <v>92</v>
      </c>
      <c r="P60" s="1583" t="s">
        <v>92</v>
      </c>
      <c r="Q60" s="1583" t="s">
        <v>92</v>
      </c>
      <c r="R60" s="1583" t="s">
        <v>92</v>
      </c>
      <c r="S60" s="1583"/>
      <c r="T60" s="1469" t="s">
        <v>651</v>
      </c>
      <c r="U60" s="1469" t="s">
        <v>651</v>
      </c>
      <c r="V60" s="1469" t="s">
        <v>651</v>
      </c>
      <c r="W60" s="1469" t="s">
        <v>651</v>
      </c>
      <c r="X60" s="1469"/>
      <c r="Y60" s="1626"/>
      <c r="Z60" s="1472" t="s">
        <v>2335</v>
      </c>
      <c r="AA60" s="1475" t="s">
        <v>2336</v>
      </c>
      <c r="AB60" s="1472" t="s">
        <v>2337</v>
      </c>
      <c r="AC60" s="1472" t="s">
        <v>2336</v>
      </c>
      <c r="AD60" s="1472"/>
    </row>
    <row customHeight="1" ht="9">
      <c r="A61" s="1471"/>
      <c r="B61" s="1525">
        <v>44</v>
      </c>
      <c r="C61" s="1469"/>
      <c r="D61" s="1593" t="s">
        <v>2338</v>
      </c>
      <c r="E61" s="1469"/>
      <c r="F61" s="1469"/>
      <c r="G61" s="1469"/>
      <c r="H61" s="1517"/>
      <c r="I61" s="1631">
        <f>INDEX(TEMPLATE_NUMBER_POINT_FHD,B61,MATCH(TEMPLATE_SPHERE,TEMPLATE_SPHERE_LIST_FOR_NOTE,0))</f>
        <v>0</v>
      </c>
      <c r="J61" s="1631">
        <f>INDEX(TEMPLATE_DATA_POINT_FHD,B61,MATCH(TEMPLATE_SPHERE,TEMPLATE_SPHERE_LIST_FOR_NOTE,0))</f>
        <v>0</v>
      </c>
      <c r="K61" s="1631">
        <f>INDEX(TEMPLATE_NOTE_POINT_FHD,B61,MATCH(TEMPLATE_SPHERE,TEMPLATE_SPHERE_LIST_FOR_NOTE,0))</f>
        <v>0</v>
      </c>
      <c r="L61" s="1470" t="str">
        <f>IF(I61=0,"",I61)</f>
        <v/>
      </c>
      <c r="M61" s="1470" t="str">
        <f>IF(J61=0,"",J61)</f>
        <v/>
      </c>
      <c r="N61" s="1470" t="str">
        <f>IF(K61=0,"",K61)</f>
        <v/>
      </c>
      <c r="O61" s="1583"/>
      <c r="P61" s="1583" t="s">
        <v>93</v>
      </c>
      <c r="Q61" s="1583"/>
      <c r="R61" s="1583"/>
      <c r="S61" s="1583"/>
      <c r="T61" s="1469"/>
      <c r="U61" s="1469" t="s">
        <v>2339</v>
      </c>
      <c r="V61" s="1469"/>
      <c r="W61" s="1469"/>
      <c r="X61" s="1469"/>
      <c r="Y61" s="1626"/>
      <c r="Z61" s="1472"/>
      <c r="AA61" s="1475"/>
      <c r="AB61" s="1472"/>
      <c r="AC61" s="1472"/>
      <c r="AD61" s="1472"/>
    </row>
    <row customHeight="1" ht="9">
      <c r="A62" s="1471"/>
      <c r="B62" s="1525">
        <v>45</v>
      </c>
      <c r="C62" s="1469"/>
      <c r="D62" s="1593" t="s">
        <v>2340</v>
      </c>
      <c r="E62" s="1469"/>
      <c r="F62" s="1469"/>
      <c r="G62" s="1469"/>
      <c r="H62" s="1517"/>
      <c r="I62" s="1631">
        <f>INDEX(TEMPLATE_NUMBER_POINT_FHD,B62,MATCH(TEMPLATE_SPHERE,TEMPLATE_SPHERE_LIST_FOR_NOTE,0))</f>
        <v>0</v>
      </c>
      <c r="J62" s="1631">
        <f>INDEX(TEMPLATE_DATA_POINT_FHD,B62,MATCH(TEMPLATE_SPHERE,TEMPLATE_SPHERE_LIST_FOR_NOTE,0))</f>
        <v>0</v>
      </c>
      <c r="K62" s="1631">
        <f>INDEX(TEMPLATE_NOTE_POINT_FHD,B62,MATCH(TEMPLATE_SPHERE,TEMPLATE_SPHERE_LIST_FOR_NOTE,0))</f>
        <v>0</v>
      </c>
      <c r="L62" s="1470" t="str">
        <f>IF(I62=0,"",I62)</f>
        <v/>
      </c>
      <c r="M62" s="1470" t="str">
        <f>IF(J62=0,"",J62)</f>
        <v/>
      </c>
      <c r="N62" s="1470" t="str">
        <f>IF(K62=0,"",K62)</f>
        <v/>
      </c>
      <c r="O62" s="1583"/>
      <c r="P62" s="1583" t="s">
        <v>120</v>
      </c>
      <c r="Q62" s="1583"/>
      <c r="R62" s="1583"/>
      <c r="S62" s="1583"/>
      <c r="T62" s="1469"/>
      <c r="U62" s="1469" t="s">
        <v>2341</v>
      </c>
      <c r="V62" s="1469"/>
      <c r="W62" s="1469"/>
      <c r="X62" s="1469"/>
      <c r="Y62" s="1626"/>
      <c r="Z62" s="1472"/>
      <c r="AA62" s="1475"/>
      <c r="AB62" s="1472"/>
      <c r="AC62" s="1472"/>
      <c r="AD62" s="1472"/>
    </row>
    <row customHeight="1" ht="18">
      <c r="A63" s="1471"/>
      <c r="B63" s="1525">
        <v>46</v>
      </c>
      <c r="C63" s="1469"/>
      <c r="D63" s="1593" t="s">
        <v>2342</v>
      </c>
      <c r="E63" s="1469"/>
      <c r="F63" s="1469"/>
      <c r="G63" s="1469"/>
      <c r="H63" s="1517"/>
      <c r="I63" s="1631">
        <f>INDEX(TEMPLATE_NUMBER_POINT_FHD,B63,MATCH(TEMPLATE_SPHERE,TEMPLATE_SPHERE_LIST_FOR_NOTE,0))</f>
        <v>0</v>
      </c>
      <c r="J63" s="1631">
        <f>INDEX(TEMPLATE_DATA_POINT_FHD,B63,MATCH(TEMPLATE_SPHERE,TEMPLATE_SPHERE_LIST_FOR_NOTE,0))</f>
        <v>0</v>
      </c>
      <c r="K63" s="1631">
        <f>INDEX(TEMPLATE_NOTE_POINT_FHD,B63,MATCH(TEMPLATE_SPHERE,TEMPLATE_SPHERE_LIST_FOR_NOTE,0))</f>
        <v>0</v>
      </c>
      <c r="L63" s="1470" t="str">
        <f>IF(I63=0,"",I63)</f>
        <v/>
      </c>
      <c r="M63" s="1470" t="str">
        <f>IF(J63=0,"",J63)</f>
        <v/>
      </c>
      <c r="N63" s="1470" t="str">
        <f>IF(K63=0,"",K63)</f>
        <v/>
      </c>
      <c r="O63" s="1583"/>
      <c r="P63" s="1583" t="s">
        <v>168</v>
      </c>
      <c r="Q63" s="1583"/>
      <c r="R63" s="1583"/>
      <c r="S63" s="1583"/>
      <c r="T63" s="1469"/>
      <c r="U63" s="1469" t="s">
        <v>2343</v>
      </c>
      <c r="V63" s="1469"/>
      <c r="W63" s="1469"/>
      <c r="X63" s="1469"/>
      <c r="Y63" s="1626"/>
      <c r="Z63" s="1472"/>
      <c r="AA63" s="1475"/>
      <c r="AB63" s="1472"/>
      <c r="AC63" s="1472"/>
      <c r="AD63" s="1472"/>
    </row>
    <row customHeight="1" ht="18">
      <c r="A64" s="1471"/>
      <c r="B64" s="1525">
        <v>47</v>
      </c>
      <c r="C64" s="1469"/>
      <c r="D64" s="1593" t="s">
        <v>2344</v>
      </c>
      <c r="E64" s="1469"/>
      <c r="F64" s="1469"/>
      <c r="G64" s="1469"/>
      <c r="H64" s="1517"/>
      <c r="I64" s="1631">
        <f>INDEX(TEMPLATE_NUMBER_POINT_FHD,B64,MATCH(TEMPLATE_SPHERE,TEMPLATE_SPHERE_LIST_FOR_NOTE,0))</f>
        <v>0</v>
      </c>
      <c r="J64" s="1631">
        <f>INDEX(TEMPLATE_DATA_POINT_FHD,B64,MATCH(TEMPLATE_SPHERE,TEMPLATE_SPHERE_LIST_FOR_NOTE,0))</f>
        <v>0</v>
      </c>
      <c r="K64" s="1631">
        <f>INDEX(TEMPLATE_NOTE_POINT_FHD,B64,MATCH(TEMPLATE_SPHERE,TEMPLATE_SPHERE_LIST_FOR_NOTE,0))</f>
        <v>0</v>
      </c>
      <c r="L64" s="1470" t="str">
        <f>IF(I64=0,"",I64)</f>
        <v/>
      </c>
      <c r="M64" s="1470" t="str">
        <f>IF(J64=0,"",J64)</f>
        <v/>
      </c>
      <c r="N64" s="1470" t="str">
        <f>IF(K64=0,"",K64)</f>
        <v/>
      </c>
      <c r="O64" s="1583"/>
      <c r="P64" s="1583" t="s">
        <v>169</v>
      </c>
      <c r="Q64" s="1583"/>
      <c r="R64" s="1583"/>
      <c r="S64" s="1583"/>
      <c r="T64" s="1469"/>
      <c r="U64" s="1469" t="s">
        <v>2345</v>
      </c>
      <c r="V64" s="1469"/>
      <c r="W64" s="1469"/>
      <c r="X64" s="1469"/>
      <c r="Y64" s="1626"/>
      <c r="Z64" s="1472"/>
      <c r="AA64" s="1475" t="s">
        <v>2346</v>
      </c>
      <c r="AB64" s="1472"/>
      <c r="AC64" s="1472"/>
      <c r="AD64" s="1472"/>
    </row>
    <row customHeight="1" ht="18">
      <c r="A65" s="1471"/>
      <c r="B65" s="1525">
        <v>48</v>
      </c>
      <c r="C65" s="1469"/>
      <c r="D65" s="1593"/>
      <c r="E65" s="1469"/>
      <c r="F65" s="1469"/>
      <c r="G65" s="1469"/>
      <c r="H65" s="1517"/>
      <c r="I65" s="1631">
        <f>INDEX(TEMPLATE_NUMBER_POINT_FHD,B65,MATCH(TEMPLATE_SPHERE,TEMPLATE_SPHERE_LIST_FOR_NOTE,0))</f>
        <v>0</v>
      </c>
      <c r="J65" s="1631">
        <f>INDEX(TEMPLATE_DATA_POINT_FHD,B65,MATCH(TEMPLATE_SPHERE,TEMPLATE_SPHERE_LIST_FOR_NOTE,0))</f>
        <v>0</v>
      </c>
      <c r="K65" s="1631">
        <f>INDEX(TEMPLATE_NOTE_POINT_FHD,B65,MATCH(TEMPLATE_SPHERE,TEMPLATE_SPHERE_LIST_FOR_NOTE,0))</f>
        <v>0</v>
      </c>
      <c r="L65" s="1470" t="str">
        <f>IF(I65=0,"",I65)</f>
        <v/>
      </c>
      <c r="M65" s="1470" t="str">
        <f>IF(J65=0,"",J65)</f>
        <v/>
      </c>
      <c r="N65" s="1470" t="str">
        <f>IF(K65=0,"",K65)</f>
        <v/>
      </c>
      <c r="O65" s="1583"/>
      <c r="P65" s="1583" t="s">
        <v>2259</v>
      </c>
      <c r="Q65" s="1583"/>
      <c r="R65" s="1583"/>
      <c r="S65" s="1583"/>
      <c r="T65" s="1469"/>
      <c r="U65" s="1469" t="s">
        <v>2347</v>
      </c>
      <c r="V65" s="1469"/>
      <c r="W65" s="1469"/>
      <c r="X65" s="1469"/>
      <c r="Y65" s="1626"/>
      <c r="Z65" s="1472"/>
      <c r="AA65" s="1475"/>
      <c r="AB65" s="1472"/>
      <c r="AC65" s="1472"/>
      <c r="AD65" s="1472"/>
    </row>
    <row customHeight="1" ht="18">
      <c r="A66" s="1471"/>
      <c r="B66" s="1525">
        <v>49</v>
      </c>
      <c r="C66" s="1469"/>
      <c r="D66" s="1593"/>
      <c r="E66" s="1469"/>
      <c r="F66" s="1469"/>
      <c r="G66" s="1469"/>
      <c r="H66" s="1517"/>
      <c r="I66" s="1631">
        <f>INDEX(TEMPLATE_NUMBER_POINT_FHD,B66,MATCH(TEMPLATE_SPHERE,TEMPLATE_SPHERE_LIST_FOR_NOTE,0))</f>
        <v>0</v>
      </c>
      <c r="J66" s="1631">
        <f>INDEX(TEMPLATE_DATA_POINT_FHD,B66,MATCH(TEMPLATE_SPHERE,TEMPLATE_SPHERE_LIST_FOR_NOTE,0))</f>
        <v>0</v>
      </c>
      <c r="K66" s="1631">
        <f>INDEX(TEMPLATE_NOTE_POINT_FHD,B66,MATCH(TEMPLATE_SPHERE,TEMPLATE_SPHERE_LIST_FOR_NOTE,0))</f>
        <v>0</v>
      </c>
      <c r="L66" s="1470" t="str">
        <f>IF(I66=0,"",I66)</f>
        <v/>
      </c>
      <c r="M66" s="1470" t="str">
        <f>IF(J66=0,"",J66)</f>
        <v/>
      </c>
      <c r="N66" s="1470" t="str">
        <f>IF(K66=0,"",K66)</f>
        <v/>
      </c>
      <c r="O66" s="1583"/>
      <c r="P66" s="1583" t="s">
        <v>2263</v>
      </c>
      <c r="Q66" s="1583"/>
      <c r="R66" s="1583"/>
      <c r="S66" s="1583"/>
      <c r="T66" s="1469"/>
      <c r="U66" s="1469" t="s">
        <v>2348</v>
      </c>
      <c r="V66" s="1469"/>
      <c r="W66" s="1469"/>
      <c r="X66" s="1469"/>
      <c r="Y66" s="1626"/>
      <c r="Z66" s="1472"/>
      <c r="AA66" s="1475"/>
      <c r="AB66" s="1472"/>
      <c r="AC66" s="1472"/>
      <c r="AD66" s="1472"/>
    </row>
    <row customHeight="1" ht="27">
      <c r="A67" s="1471"/>
      <c r="B67" s="1525">
        <v>50</v>
      </c>
      <c r="C67" s="1469"/>
      <c r="D67" s="1593"/>
      <c r="E67" s="1469"/>
      <c r="F67" s="1469"/>
      <c r="G67" s="1469"/>
      <c r="H67" s="1517"/>
      <c r="I67" s="1631">
        <f>INDEX(TEMPLATE_NUMBER_POINT_FHD,B67,MATCH(TEMPLATE_SPHERE,TEMPLATE_SPHERE_LIST_FOR_NOTE,0))</f>
        <v>0</v>
      </c>
      <c r="J67" s="1631">
        <f>INDEX(TEMPLATE_DATA_POINT_FHD,B67,MATCH(TEMPLATE_SPHERE,TEMPLATE_SPHERE_LIST_FOR_NOTE,0))</f>
        <v>0</v>
      </c>
      <c r="K67" s="1631">
        <f>INDEX(TEMPLATE_NOTE_POINT_FHD,B67,MATCH(TEMPLATE_SPHERE,TEMPLATE_SPHERE_LIST_FOR_NOTE,0))</f>
        <v>0</v>
      </c>
      <c r="L67" s="1470" t="str">
        <f>IF(I67=0,"",I67)</f>
        <v/>
      </c>
      <c r="M67" s="1470" t="str">
        <f>IF(J67=0,"",J67)</f>
        <v/>
      </c>
      <c r="N67" s="1470" t="str">
        <f>IF(K67=0,"",K67)</f>
        <v/>
      </c>
      <c r="O67" s="1583"/>
      <c r="P67" s="1583" t="s">
        <v>2349</v>
      </c>
      <c r="Q67" s="1583"/>
      <c r="R67" s="1583"/>
      <c r="S67" s="1583"/>
      <c r="T67" s="1469"/>
      <c r="U67" s="1469" t="s">
        <v>2350</v>
      </c>
      <c r="V67" s="1469"/>
      <c r="W67" s="1469"/>
      <c r="X67" s="1469"/>
      <c r="Y67" s="1626"/>
      <c r="Z67" s="1472"/>
      <c r="AA67" s="1475"/>
      <c r="AB67" s="1472"/>
      <c r="AC67" s="1472"/>
      <c r="AD67" s="1472"/>
    </row>
    <row customHeight="1" ht="27">
      <c r="A68" s="1471"/>
      <c r="B68" s="1525">
        <v>51</v>
      </c>
      <c r="C68" s="1469"/>
      <c r="D68" s="1593"/>
      <c r="E68" s="1469"/>
      <c r="F68" s="1469"/>
      <c r="G68" s="1469"/>
      <c r="H68" s="1517"/>
      <c r="I68" s="1631">
        <f>INDEX(TEMPLATE_NUMBER_POINT_FHD,B68,MATCH(TEMPLATE_SPHERE,TEMPLATE_SPHERE_LIST_FOR_NOTE,0))</f>
        <v>0</v>
      </c>
      <c r="J68" s="1631">
        <f>INDEX(TEMPLATE_DATA_POINT_FHD,B68,MATCH(TEMPLATE_SPHERE,TEMPLATE_SPHERE_LIST_FOR_NOTE,0))</f>
        <v>0</v>
      </c>
      <c r="K68" s="1631">
        <f>INDEX(TEMPLATE_NOTE_POINT_FHD,B68,MATCH(TEMPLATE_SPHERE,TEMPLATE_SPHERE_LIST_FOR_NOTE,0))</f>
        <v>0</v>
      </c>
      <c r="L68" s="1470" t="str">
        <f>IF(I68=0,"",I68)</f>
        <v/>
      </c>
      <c r="M68" s="1470" t="str">
        <f>IF(J68=0,"",J68)</f>
        <v/>
      </c>
      <c r="N68" s="1470" t="str">
        <f>IF(K68=0,"",K68)</f>
        <v/>
      </c>
      <c r="O68" s="1583"/>
      <c r="P68" s="1583" t="s">
        <v>2351</v>
      </c>
      <c r="Q68" s="1583"/>
      <c r="R68" s="1583"/>
      <c r="S68" s="1583"/>
      <c r="T68" s="1469"/>
      <c r="U68" s="1469" t="s">
        <v>2352</v>
      </c>
      <c r="V68" s="1469"/>
      <c r="W68" s="1469"/>
      <c r="X68" s="1469"/>
      <c r="Y68" s="1626"/>
      <c r="Z68" s="1472"/>
      <c r="AA68" s="1475"/>
      <c r="AB68" s="1472"/>
      <c r="AC68" s="1472"/>
      <c r="AD68" s="1472"/>
    </row>
    <row customHeight="1" ht="9">
      <c r="A69" s="1471"/>
      <c r="B69" s="1525">
        <v>52</v>
      </c>
      <c r="C69" s="1469"/>
      <c r="D69" s="1593" t="s">
        <v>2353</v>
      </c>
      <c r="E69" s="1469"/>
      <c r="F69" s="1469"/>
      <c r="G69" s="1469"/>
      <c r="H69" s="1517"/>
      <c r="I69" s="1631">
        <f>INDEX(TEMPLATE_NUMBER_POINT_FHD,B69,MATCH(TEMPLATE_SPHERE,TEMPLATE_SPHERE_LIST_FOR_NOTE,0))</f>
        <v>0</v>
      </c>
      <c r="J69" s="1631">
        <f>INDEX(TEMPLATE_DATA_POINT_FHD,B69,MATCH(TEMPLATE_SPHERE,TEMPLATE_SPHERE_LIST_FOR_NOTE,0))</f>
        <v>0</v>
      </c>
      <c r="K69" s="1631">
        <f>INDEX(TEMPLATE_NOTE_POINT_FHD,B69,MATCH(TEMPLATE_SPHERE,TEMPLATE_SPHERE_LIST_FOR_NOTE,0))</f>
        <v>0</v>
      </c>
      <c r="L69" s="1470" t="str">
        <f>IF(I69=0,"",I69)</f>
        <v/>
      </c>
      <c r="M69" s="1470" t="str">
        <f>IF(J69=0,"",J69)</f>
        <v/>
      </c>
      <c r="N69" s="1470" t="str">
        <f>IF(K69=0,"",K69)</f>
        <v/>
      </c>
      <c r="O69" s="1583"/>
      <c r="P69" s="1583" t="s">
        <v>170</v>
      </c>
      <c r="Q69" s="1583"/>
      <c r="R69" s="1583"/>
      <c r="S69" s="1583"/>
      <c r="T69" s="1469"/>
      <c r="U69" s="1469" t="s">
        <v>2354</v>
      </c>
      <c r="V69" s="1469"/>
      <c r="W69" s="1469"/>
      <c r="X69" s="1469"/>
      <c r="Y69" s="1626"/>
      <c r="Z69" s="1472"/>
      <c r="AA69" s="1475"/>
      <c r="AB69" s="1472"/>
      <c r="AC69" s="1472"/>
      <c r="AD69" s="1472"/>
    </row>
    <row customHeight="1" ht="27">
      <c r="A70" s="1471"/>
      <c r="B70" s="1525">
        <v>53</v>
      </c>
      <c r="C70" s="1469"/>
      <c r="D70" s="1593"/>
      <c r="E70" s="1469" t="s">
        <v>2338</v>
      </c>
      <c r="F70" s="1469"/>
      <c r="G70" s="1469"/>
      <c r="H70" s="1517"/>
      <c r="I70" s="1631">
        <f>INDEX(TEMPLATE_NUMBER_POINT_FHD,B70,MATCH(TEMPLATE_SPHERE,TEMPLATE_SPHERE_LIST_FOR_NOTE,0))</f>
        <v>0</v>
      </c>
      <c r="J70" s="1631">
        <f>INDEX(TEMPLATE_DATA_POINT_FHD,B70,MATCH(TEMPLATE_SPHERE,TEMPLATE_SPHERE_LIST_FOR_NOTE,0))</f>
        <v>0</v>
      </c>
      <c r="K70" s="1631">
        <f>INDEX(TEMPLATE_NOTE_POINT_FHD,B70,MATCH(TEMPLATE_SPHERE,TEMPLATE_SPHERE_LIST_FOR_NOTE,0))</f>
        <v>0</v>
      </c>
      <c r="L70" s="1470" t="str">
        <f>IF(I70=0,"",I70)</f>
        <v/>
      </c>
      <c r="M70" s="1470" t="str">
        <f>IF(J70=0,"",J70)</f>
        <v/>
      </c>
      <c r="N70" s="1470" t="str">
        <f>IF(K70=0,"",K70)</f>
        <v/>
      </c>
      <c r="O70" s="1583"/>
      <c r="P70" s="1583"/>
      <c r="Q70" s="1583" t="s">
        <v>93</v>
      </c>
      <c r="R70" s="1583"/>
      <c r="S70" s="1583"/>
      <c r="T70" s="1469"/>
      <c r="U70" s="1469"/>
      <c r="V70" s="1469" t="s">
        <v>2355</v>
      </c>
      <c r="W70" s="1469"/>
      <c r="X70" s="1469"/>
      <c r="Y70" s="1626"/>
      <c r="Z70" s="1472"/>
      <c r="AA70" s="1475"/>
      <c r="AB70" s="1472"/>
      <c r="AC70" s="1472"/>
      <c r="AD70" s="1472"/>
    </row>
    <row customHeight="1" ht="36">
      <c r="A71" s="1471"/>
      <c r="B71" s="1525">
        <v>54</v>
      </c>
      <c r="C71" s="1469"/>
      <c r="D71" s="1593"/>
      <c r="E71" s="1469" t="s">
        <v>2340</v>
      </c>
      <c r="F71" s="1469"/>
      <c r="G71" s="1469"/>
      <c r="H71" s="1517"/>
      <c r="I71" s="1631">
        <f>INDEX(TEMPLATE_NUMBER_POINT_FHD,B71,MATCH(TEMPLATE_SPHERE,TEMPLATE_SPHERE_LIST_FOR_NOTE,0))</f>
        <v>0</v>
      </c>
      <c r="J71" s="1631">
        <f>INDEX(TEMPLATE_DATA_POINT_FHD,B71,MATCH(TEMPLATE_SPHERE,TEMPLATE_SPHERE_LIST_FOR_NOTE,0))</f>
        <v>0</v>
      </c>
      <c r="K71" s="1631">
        <f>INDEX(TEMPLATE_NOTE_POINT_FHD,B71,MATCH(TEMPLATE_SPHERE,TEMPLATE_SPHERE_LIST_FOR_NOTE,0))</f>
        <v>0</v>
      </c>
      <c r="L71" s="1470" t="str">
        <f>IF(I71=0,"",I71)</f>
        <v/>
      </c>
      <c r="M71" s="1470" t="str">
        <f>IF(J71=0,"",J71)</f>
        <v/>
      </c>
      <c r="N71" s="1470" t="str">
        <f>IF(K71=0,"",K71)</f>
        <v/>
      </c>
      <c r="O71" s="1583"/>
      <c r="P71" s="1583"/>
      <c r="Q71" s="1583" t="s">
        <v>120</v>
      </c>
      <c r="R71" s="1583"/>
      <c r="S71" s="1583"/>
      <c r="T71" s="1469"/>
      <c r="U71" s="1469"/>
      <c r="V71" s="1469" t="s">
        <v>2356</v>
      </c>
      <c r="W71" s="1469"/>
      <c r="X71" s="1469"/>
      <c r="Y71" s="1626"/>
      <c r="Z71" s="1472"/>
      <c r="AA71" s="1475"/>
      <c r="AB71" s="1472"/>
      <c r="AC71" s="1472"/>
      <c r="AD71" s="1472"/>
    </row>
    <row customHeight="1" ht="27">
      <c r="A72" s="1471"/>
      <c r="B72" s="1525">
        <v>55</v>
      </c>
      <c r="C72" s="1469"/>
      <c r="D72" s="1593"/>
      <c r="E72" s="1469" t="s">
        <v>2342</v>
      </c>
      <c r="F72" s="1469"/>
      <c r="G72" s="1469"/>
      <c r="H72" s="1517"/>
      <c r="I72" s="1631">
        <f>INDEX(TEMPLATE_NUMBER_POINT_FHD,B72,MATCH(TEMPLATE_SPHERE,TEMPLATE_SPHERE_LIST_FOR_NOTE,0))</f>
        <v>0</v>
      </c>
      <c r="J72" s="1631">
        <f>INDEX(TEMPLATE_DATA_POINT_FHD,B72,MATCH(TEMPLATE_SPHERE,TEMPLATE_SPHERE_LIST_FOR_NOTE,0))</f>
        <v>0</v>
      </c>
      <c r="K72" s="1631">
        <f>INDEX(TEMPLATE_NOTE_POINT_FHD,B72,MATCH(TEMPLATE_SPHERE,TEMPLATE_SPHERE_LIST_FOR_NOTE,0))</f>
        <v>0</v>
      </c>
      <c r="L72" s="1470" t="str">
        <f>IF(I72=0,"",I72)</f>
        <v/>
      </c>
      <c r="M72" s="1470" t="str">
        <f>IF(J72=0,"",J72)</f>
        <v/>
      </c>
      <c r="N72" s="1470" t="str">
        <f>IF(K72=0,"",K72)</f>
        <v/>
      </c>
      <c r="O72" s="1583"/>
      <c r="P72" s="1583"/>
      <c r="Q72" s="1583" t="s">
        <v>168</v>
      </c>
      <c r="R72" s="1583"/>
      <c r="S72" s="1583"/>
      <c r="T72" s="1469"/>
      <c r="U72" s="1469"/>
      <c r="V72" s="1469" t="s">
        <v>2357</v>
      </c>
      <c r="W72" s="1469"/>
      <c r="X72" s="1469"/>
      <c r="Y72" s="1626"/>
      <c r="Z72" s="1472"/>
      <c r="AA72" s="1475"/>
      <c r="AB72" s="1472"/>
      <c r="AC72" s="1472"/>
      <c r="AD72" s="1472"/>
    </row>
    <row customHeight="1" ht="36">
      <c r="A73" s="1471"/>
      <c r="B73" s="1525">
        <v>56</v>
      </c>
      <c r="C73" s="1469"/>
      <c r="D73" s="1593"/>
      <c r="E73" s="1469" t="s">
        <v>2344</v>
      </c>
      <c r="F73" s="1469"/>
      <c r="G73" s="1469"/>
      <c r="H73" s="1517"/>
      <c r="I73" s="1631">
        <f>INDEX(TEMPLATE_NUMBER_POINT_FHD,B73,MATCH(TEMPLATE_SPHERE,TEMPLATE_SPHERE_LIST_FOR_NOTE,0))</f>
        <v>0</v>
      </c>
      <c r="J73" s="1631">
        <f>INDEX(TEMPLATE_DATA_POINT_FHD,B73,MATCH(TEMPLATE_SPHERE,TEMPLATE_SPHERE_LIST_FOR_NOTE,0))</f>
        <v>0</v>
      </c>
      <c r="K73" s="1631">
        <f>INDEX(TEMPLATE_NOTE_POINT_FHD,B73,MATCH(TEMPLATE_SPHERE,TEMPLATE_SPHERE_LIST_FOR_NOTE,0))</f>
        <v>0</v>
      </c>
      <c r="L73" s="1470" t="str">
        <f>IF(I73=0,"",I73)</f>
        <v/>
      </c>
      <c r="M73" s="1470" t="str">
        <f>IF(J73=0,"",J73)</f>
        <v/>
      </c>
      <c r="N73" s="1470" t="str">
        <f>IF(K73=0,"",K73)</f>
        <v/>
      </c>
      <c r="O73" s="1583"/>
      <c r="P73" s="1583"/>
      <c r="Q73" s="1583" t="s">
        <v>169</v>
      </c>
      <c r="R73" s="1583"/>
      <c r="S73" s="1583"/>
      <c r="T73" s="1469"/>
      <c r="U73" s="1469"/>
      <c r="V73" s="1469" t="s">
        <v>2358</v>
      </c>
      <c r="W73" s="1469"/>
      <c r="X73" s="1469"/>
      <c r="Y73" s="1626"/>
      <c r="Z73" s="1472"/>
      <c r="AA73" s="1475"/>
      <c r="AB73" s="1472"/>
      <c r="AC73" s="1472"/>
      <c r="AD73" s="1472"/>
    </row>
    <row customHeight="1" ht="18">
      <c r="A74" s="1471"/>
      <c r="B74" s="1525">
        <v>57</v>
      </c>
      <c r="C74" s="1469"/>
      <c r="D74" s="1593"/>
      <c r="E74" s="1469" t="s">
        <v>2353</v>
      </c>
      <c r="F74" s="1469"/>
      <c r="G74" s="1469"/>
      <c r="H74" s="1517"/>
      <c r="I74" s="1631">
        <f>INDEX(TEMPLATE_NUMBER_POINT_FHD,B74,MATCH(TEMPLATE_SPHERE,TEMPLATE_SPHERE_LIST_FOR_NOTE,0))</f>
        <v>0</v>
      </c>
      <c r="J74" s="1631">
        <f>INDEX(TEMPLATE_DATA_POINT_FHD,B74,MATCH(TEMPLATE_SPHERE,TEMPLATE_SPHERE_LIST_FOR_NOTE,0))</f>
        <v>0</v>
      </c>
      <c r="K74" s="1631">
        <f>INDEX(TEMPLATE_NOTE_POINT_FHD,B74,MATCH(TEMPLATE_SPHERE,TEMPLATE_SPHERE_LIST_FOR_NOTE,0))</f>
        <v>0</v>
      </c>
      <c r="L74" s="1470" t="str">
        <f>IF(I74=0,"",I74)</f>
        <v/>
      </c>
      <c r="M74" s="1470" t="str">
        <f>IF(J74=0,"",J74)</f>
        <v/>
      </c>
      <c r="N74" s="1470" t="str">
        <f>IF(K74=0,"",K74)</f>
        <v/>
      </c>
      <c r="O74" s="1583"/>
      <c r="P74" s="1583"/>
      <c r="Q74" s="1583" t="s">
        <v>170</v>
      </c>
      <c r="R74" s="1583"/>
      <c r="S74" s="1583"/>
      <c r="T74" s="1469"/>
      <c r="U74" s="1469"/>
      <c r="V74" s="1469" t="s">
        <v>2359</v>
      </c>
      <c r="W74" s="1469"/>
      <c r="X74" s="1469"/>
      <c r="Y74" s="1626"/>
      <c r="Z74" s="1472"/>
      <c r="AA74" s="1475"/>
      <c r="AB74" s="1472"/>
      <c r="AC74" s="1472"/>
      <c r="AD74" s="1472"/>
    </row>
    <row customHeight="1" ht="18">
      <c r="A75" s="1471"/>
      <c r="B75" s="1525">
        <v>58</v>
      </c>
      <c r="C75" s="1469"/>
      <c r="D75" s="1593"/>
      <c r="E75" s="1469"/>
      <c r="F75" s="1469" t="s">
        <v>2338</v>
      </c>
      <c r="G75" s="1469"/>
      <c r="H75" s="1517"/>
      <c r="I75" s="1631">
        <f>INDEX(TEMPLATE_NUMBER_POINT_FHD,B75,MATCH(TEMPLATE_SPHERE,TEMPLATE_SPHERE_LIST_FOR_NOTE,0))</f>
        <v>0</v>
      </c>
      <c r="J75" s="1631">
        <f>INDEX(TEMPLATE_DATA_POINT_FHD,B75,MATCH(TEMPLATE_SPHERE,TEMPLATE_SPHERE_LIST_FOR_NOTE,0))</f>
        <v>0</v>
      </c>
      <c r="K75" s="1631">
        <f>INDEX(TEMPLATE_NOTE_POINT_FHD,B75,MATCH(TEMPLATE_SPHERE,TEMPLATE_SPHERE_LIST_FOR_NOTE,0))</f>
        <v>0</v>
      </c>
      <c r="L75" s="1470" t="str">
        <f>IF(I75=0,"",I75)</f>
        <v/>
      </c>
      <c r="M75" s="1470" t="str">
        <f>IF(J75=0,"",J75)</f>
        <v/>
      </c>
      <c r="N75" s="1470" t="str">
        <f>IF(K75=0,"",K75)</f>
        <v/>
      </c>
      <c r="O75" s="1583"/>
      <c r="P75" s="1583"/>
      <c r="Q75" s="1583"/>
      <c r="R75" s="1583" t="s">
        <v>93</v>
      </c>
      <c r="S75" s="1583"/>
      <c r="T75" s="1469"/>
      <c r="U75" s="1469"/>
      <c r="V75" s="1469"/>
      <c r="W75" s="1469" t="s">
        <v>2360</v>
      </c>
      <c r="X75" s="1469"/>
      <c r="Y75" s="1626"/>
      <c r="Z75" s="1472"/>
      <c r="AA75" s="1475"/>
      <c r="AB75" s="1472"/>
      <c r="AC75" s="1472"/>
      <c r="AD75" s="1472"/>
    </row>
    <row customHeight="1" ht="36">
      <c r="A76" s="1471"/>
      <c r="B76" s="1525">
        <v>59</v>
      </c>
      <c r="C76" s="1469"/>
      <c r="D76" s="1593"/>
      <c r="E76" s="1469"/>
      <c r="F76" s="1469" t="s">
        <v>2340</v>
      </c>
      <c r="G76" s="1469"/>
      <c r="H76" s="1517"/>
      <c r="I76" s="1631">
        <f>INDEX(TEMPLATE_NUMBER_POINT_FHD,B76,MATCH(TEMPLATE_SPHERE,TEMPLATE_SPHERE_LIST_FOR_NOTE,0))</f>
        <v>0</v>
      </c>
      <c r="J76" s="1631">
        <f>INDEX(TEMPLATE_DATA_POINT_FHD,B76,MATCH(TEMPLATE_SPHERE,TEMPLATE_SPHERE_LIST_FOR_NOTE,0))</f>
        <v>0</v>
      </c>
      <c r="K76" s="1631">
        <f>INDEX(TEMPLATE_NOTE_POINT_FHD,B76,MATCH(TEMPLATE_SPHERE,TEMPLATE_SPHERE_LIST_FOR_NOTE,0))</f>
        <v>0</v>
      </c>
      <c r="L76" s="1470" t="str">
        <f>IF(I76=0,"",I76)</f>
        <v/>
      </c>
      <c r="M76" s="1470" t="str">
        <f>IF(J76=0,"",J76)</f>
        <v/>
      </c>
      <c r="N76" s="1470" t="str">
        <f>IF(K76=0,"",K76)</f>
        <v/>
      </c>
      <c r="O76" s="1583"/>
      <c r="P76" s="1583"/>
      <c r="Q76" s="1583"/>
      <c r="R76" s="1583" t="s">
        <v>120</v>
      </c>
      <c r="S76" s="1583"/>
      <c r="T76" s="1469"/>
      <c r="U76" s="1469"/>
      <c r="V76" s="1469"/>
      <c r="W76" s="1469" t="s">
        <v>2361</v>
      </c>
      <c r="X76" s="1469"/>
      <c r="Y76" s="1626"/>
      <c r="Z76" s="1472"/>
      <c r="AA76" s="1475"/>
      <c r="AB76" s="1472"/>
      <c r="AC76" s="1472"/>
      <c r="AD76" s="1472"/>
    </row>
    <row customHeight="1" ht="18">
      <c r="A77" s="1471"/>
      <c r="B77" s="1525">
        <v>60</v>
      </c>
      <c r="C77" s="1469"/>
      <c r="D77" s="1593"/>
      <c r="E77" s="1469"/>
      <c r="F77" s="1469" t="s">
        <v>2342</v>
      </c>
      <c r="G77" s="1469"/>
      <c r="H77" s="1517"/>
      <c r="I77" s="1631">
        <f>INDEX(TEMPLATE_NUMBER_POINT_FHD,B77,MATCH(TEMPLATE_SPHERE,TEMPLATE_SPHERE_LIST_FOR_NOTE,0))</f>
        <v>0</v>
      </c>
      <c r="J77" s="1631">
        <f>INDEX(TEMPLATE_DATA_POINT_FHD,B77,MATCH(TEMPLATE_SPHERE,TEMPLATE_SPHERE_LIST_FOR_NOTE,0))</f>
        <v>0</v>
      </c>
      <c r="K77" s="1631">
        <f>INDEX(TEMPLATE_NOTE_POINT_FHD,B77,MATCH(TEMPLATE_SPHERE,TEMPLATE_SPHERE_LIST_FOR_NOTE,0))</f>
        <v>0</v>
      </c>
      <c r="L77" s="1470" t="str">
        <f>IF(I77=0,"",I77)</f>
        <v/>
      </c>
      <c r="M77" s="1470" t="str">
        <f>IF(J77=0,"",J77)</f>
        <v/>
      </c>
      <c r="N77" s="1470" t="str">
        <f>IF(K77=0,"",K77)</f>
        <v/>
      </c>
      <c r="O77" s="1583"/>
      <c r="P77" s="1583"/>
      <c r="Q77" s="1583"/>
      <c r="R77" s="1583" t="s">
        <v>168</v>
      </c>
      <c r="S77" s="1583"/>
      <c r="T77" s="1469"/>
      <c r="U77" s="1469"/>
      <c r="V77" s="1469"/>
      <c r="W77" s="1469" t="s">
        <v>2362</v>
      </c>
      <c r="X77" s="1469"/>
      <c r="Y77" s="1626"/>
      <c r="Z77" s="1472"/>
      <c r="AA77" s="1475"/>
      <c r="AB77" s="1472"/>
      <c r="AC77" s="1472"/>
      <c r="AD77" s="1472"/>
    </row>
    <row customHeight="1" ht="72">
      <c r="A78" s="1471"/>
      <c r="B78" s="1525">
        <v>61</v>
      </c>
      <c r="C78" s="1469" t="s">
        <v>2338</v>
      </c>
      <c r="D78" s="1593"/>
      <c r="E78" s="1469"/>
      <c r="F78" s="1469"/>
      <c r="G78" s="1469"/>
      <c r="H78" s="1517"/>
      <c r="I78" s="1631" t="str">
        <f>INDEX(TEMPLATE_NUMBER_POINT_FHD,B78,MATCH(TEMPLATE_SPHERE,TEMPLATE_SPHERE_LIST_FOR_NOTE,0))</f>
        <v>7</v>
      </c>
      <c r="J78" s="1631"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631"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470" t="str">
        <f>IF(I78=0,"",I78)</f>
        <v>7</v>
      </c>
      <c r="M78" s="1470"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470"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583" t="s">
        <v>93</v>
      </c>
      <c r="P78" s="1583"/>
      <c r="Q78" s="1583"/>
      <c r="R78" s="1583"/>
      <c r="S78" s="1583"/>
      <c r="T78" s="1469" t="s">
        <v>656</v>
      </c>
      <c r="U78" s="1469"/>
      <c r="V78" s="1469"/>
      <c r="W78" s="1469"/>
      <c r="X78" s="1469"/>
      <c r="Y78" s="1626"/>
      <c r="Z78" s="1472" t="s">
        <v>2363</v>
      </c>
      <c r="AA78" s="1475"/>
      <c r="AB78" s="1472"/>
      <c r="AC78" s="1472"/>
      <c r="AD78" s="1472"/>
    </row>
    <row customHeight="1" ht="36">
      <c r="A79" s="1471"/>
      <c r="B79" s="1525">
        <v>62</v>
      </c>
      <c r="C79" s="1469" t="s">
        <v>2340</v>
      </c>
      <c r="D79" s="1593"/>
      <c r="E79" s="1469"/>
      <c r="F79" s="1469"/>
      <c r="G79" s="1469"/>
      <c r="H79" s="1517"/>
      <c r="I79" s="1631" t="str">
        <f>INDEX(TEMPLATE_NUMBER_POINT_FHD,B79,MATCH(TEMPLATE_SPHERE,TEMPLATE_SPHERE_LIST_FOR_NOTE,0))</f>
        <v>8</v>
      </c>
      <c r="J79" s="1631"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631"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470" t="str">
        <f>IF(I79=0,"",I79)</f>
        <v>8</v>
      </c>
      <c r="M79" s="1470" t="str">
        <f>IF(J79=0,"",J79)</f>
        <v>Тепловая нагрузка по договорам, заключенным в рамках осуществления регулируемых видов деятельности</v>
      </c>
      <c r="N79" s="1470"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583" t="s">
        <v>120</v>
      </c>
      <c r="P79" s="1583"/>
      <c r="Q79" s="1583"/>
      <c r="R79" s="1583"/>
      <c r="S79" s="1583"/>
      <c r="T79" s="1469" t="s">
        <v>2364</v>
      </c>
      <c r="U79" s="1469"/>
      <c r="V79" s="1469"/>
      <c r="W79" s="1469"/>
      <c r="X79" s="1469"/>
      <c r="Y79" s="1626"/>
      <c r="Z79" s="1472" t="s">
        <v>2365</v>
      </c>
      <c r="AA79" s="1475"/>
      <c r="AB79" s="1472"/>
      <c r="AC79" s="1472"/>
      <c r="AD79" s="1472"/>
    </row>
    <row customHeight="1" ht="45">
      <c r="A80" s="1471"/>
      <c r="B80" s="1525">
        <v>63</v>
      </c>
      <c r="C80" s="1469" t="s">
        <v>2342</v>
      </c>
      <c r="D80" s="1593"/>
      <c r="E80" s="1469"/>
      <c r="F80" s="1469"/>
      <c r="G80" s="1469"/>
      <c r="H80" s="1517"/>
      <c r="I80" s="1631" t="str">
        <f>INDEX(TEMPLATE_NUMBER_POINT_FHD,B80,MATCH(TEMPLATE_SPHERE,TEMPLATE_SPHERE_LIST_FOR_NOTE,0))</f>
        <v>9</v>
      </c>
      <c r="J80" s="1631"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631"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470" t="str">
        <f>IF(I80=0,"",I80)</f>
        <v>9</v>
      </c>
      <c r="M80" s="1470" t="str">
        <f>IF(J80=0,"",J80)</f>
        <v>Объем вырабатываемой регулируемой организацией тепловой энергии в рамках осуществления регулируемых видов деятельности</v>
      </c>
      <c r="N80" s="1470"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583" t="s">
        <v>168</v>
      </c>
      <c r="P80" s="1583"/>
      <c r="Q80" s="1583"/>
      <c r="R80" s="1583"/>
      <c r="S80" s="1583"/>
      <c r="T80" s="1469" t="s">
        <v>2366</v>
      </c>
      <c r="U80" s="1469"/>
      <c r="V80" s="1469"/>
      <c r="W80" s="1469"/>
      <c r="X80" s="1469"/>
      <c r="Y80" s="1626"/>
      <c r="Z80" s="1472" t="s">
        <v>2367</v>
      </c>
      <c r="AA80" s="1475"/>
      <c r="AB80" s="1472"/>
      <c r="AC80" s="1472"/>
      <c r="AD80" s="1472"/>
    </row>
    <row customHeight="1" ht="36">
      <c r="A81" s="1471"/>
      <c r="B81" s="1525">
        <v>64</v>
      </c>
      <c r="C81" s="1469" t="s">
        <v>2344</v>
      </c>
      <c r="D81" s="1593"/>
      <c r="E81" s="1469"/>
      <c r="F81" s="1469"/>
      <c r="G81" s="1469"/>
      <c r="H81" s="1517"/>
      <c r="I81" s="1631" t="str">
        <f>INDEX(TEMPLATE_NUMBER_POINT_FHD,B81,MATCH(TEMPLATE_SPHERE,TEMPLATE_SPHERE_LIST_FOR_NOTE,0))</f>
        <v>9.1</v>
      </c>
      <c r="J81" s="1631"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631" t="str">
        <f>INDEX(TEMPLATE_NOTE_POINT_FHD,B81,MATCH(TEMPLATE_SPHERE,TEMPLATE_SPHERE_LIST_FOR_NOTE,0))</f>
        <v>Информация указывается только едиными теплоснабжающими организациями.</v>
      </c>
      <c r="L81" s="1470" t="str">
        <f>IF(I81=0,"",I81)</f>
        <v>9.1</v>
      </c>
      <c r="M81" s="1470" t="str">
        <f>IF(J81=0,"",J81)</f>
        <v>Объем приобретаемой регулируемой организацией тепловой энергии в рамках осуществления регулируемых видов деятельности</v>
      </c>
      <c r="N81" s="1470" t="str">
        <f>IF(K81=0,"",K81)</f>
        <v>Информация указывается только едиными теплоснабжающими организациями.</v>
      </c>
      <c r="O81" s="1583" t="s">
        <v>2250</v>
      </c>
      <c r="P81" s="1583"/>
      <c r="Q81" s="1583"/>
      <c r="R81" s="1583"/>
      <c r="S81" s="1583"/>
      <c r="T81" s="1469" t="s">
        <v>2368</v>
      </c>
      <c r="U81" s="1469"/>
      <c r="V81" s="1469"/>
      <c r="W81" s="1469"/>
      <c r="X81" s="1469"/>
      <c r="Y81" s="1626"/>
      <c r="Z81" s="1472" t="s">
        <v>2369</v>
      </c>
      <c r="AA81" s="1475"/>
      <c r="AB81" s="1472"/>
      <c r="AC81" s="1472"/>
      <c r="AD81" s="1472"/>
    </row>
    <row customHeight="1" ht="90">
      <c r="A82" s="1471"/>
      <c r="B82" s="1525">
        <v>65</v>
      </c>
      <c r="C82" s="1469" t="s">
        <v>2353</v>
      </c>
      <c r="D82" s="1593"/>
      <c r="E82" s="1469"/>
      <c r="F82" s="1469"/>
      <c r="G82" s="1469"/>
      <c r="H82" s="1517"/>
      <c r="I82" s="1631" t="str">
        <f>INDEX(TEMPLATE_NUMBER_POINT_FHD,B82,MATCH(TEMPLATE_SPHERE,TEMPLATE_SPHERE_LIST_FOR_NOTE,0))</f>
        <v>10</v>
      </c>
      <c r="J82" s="1631"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631"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470" t="str">
        <f>IF(I82=0,"",I82)</f>
        <v>10</v>
      </c>
      <c r="M82" s="1470"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470"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583" t="s">
        <v>169</v>
      </c>
      <c r="P82" s="1583"/>
      <c r="Q82" s="1583"/>
      <c r="R82" s="1583"/>
      <c r="S82" s="1583"/>
      <c r="T82" s="1469" t="s">
        <v>2370</v>
      </c>
      <c r="U82" s="1469"/>
      <c r="V82" s="1469"/>
      <c r="W82" s="1469"/>
      <c r="X82" s="1469"/>
      <c r="Y82" s="1626"/>
      <c r="Z82" s="1472" t="s">
        <v>2371</v>
      </c>
      <c r="AA82" s="1475"/>
      <c r="AB82" s="1472"/>
      <c r="AC82" s="1472"/>
      <c r="AD82" s="1472"/>
    </row>
    <row customHeight="1" ht="9">
      <c r="A83" s="1471"/>
      <c r="B83" s="1525">
        <v>66</v>
      </c>
      <c r="C83" s="1469"/>
      <c r="D83" s="1593"/>
      <c r="E83" s="1469"/>
      <c r="F83" s="1469"/>
      <c r="G83" s="1469"/>
      <c r="H83" s="1517"/>
      <c r="I83" s="1631" t="str">
        <f>INDEX(TEMPLATE_NUMBER_POINT_FHD,B83,MATCH(TEMPLATE_SPHERE,TEMPLATE_SPHERE_LIST_FOR_NOTE,0))</f>
        <v>10.1</v>
      </c>
      <c r="J83" s="1631" t="str">
        <f>INDEX(TEMPLATE_DATA_POINT_FHD,B83,MATCH(TEMPLATE_SPHERE,TEMPLATE_SPHERE_LIST_FOR_NOTE,0))</f>
        <v>По приборам учёта </v>
      </c>
      <c r="K83" s="1631">
        <f>INDEX(TEMPLATE_NOTE_POINT_FHD,B83,MATCH(TEMPLATE_SPHERE,TEMPLATE_SPHERE_LIST_FOR_NOTE,0))</f>
        <v>0</v>
      </c>
      <c r="L83" s="1470" t="str">
        <f>IF(I83=0,"",I83)</f>
        <v>10.1</v>
      </c>
      <c r="M83" s="1470" t="str">
        <f>IF(J83=0,"",J83)</f>
        <v>По приборам учёта </v>
      </c>
      <c r="N83" s="1470" t="str">
        <f>IF(K83=0,"",K83)</f>
        <v/>
      </c>
      <c r="O83" s="1583" t="s">
        <v>2259</v>
      </c>
      <c r="P83" s="1583"/>
      <c r="Q83" s="1583"/>
      <c r="R83" s="1583"/>
      <c r="S83" s="1583"/>
      <c r="T83" s="1469" t="s">
        <v>2372</v>
      </c>
      <c r="U83" s="1469"/>
      <c r="V83" s="1469"/>
      <c r="W83" s="1469"/>
      <c r="X83" s="1469"/>
      <c r="Y83" s="1626"/>
      <c r="Z83" s="1472"/>
      <c r="AA83" s="1475"/>
      <c r="AB83" s="1472"/>
      <c r="AC83" s="1472"/>
      <c r="AD83" s="1472"/>
    </row>
    <row customHeight="1" ht="54">
      <c r="A84" s="1471"/>
      <c r="B84" s="1525">
        <v>67</v>
      </c>
      <c r="C84" s="1469"/>
      <c r="D84" s="1593"/>
      <c r="E84" s="1469"/>
      <c r="F84" s="1469"/>
      <c r="G84" s="1469"/>
      <c r="H84" s="1517"/>
      <c r="I84" s="1631" t="str">
        <f>INDEX(TEMPLATE_NUMBER_POINT_FHD,B84,MATCH(TEMPLATE_SPHERE,TEMPLATE_SPHERE_LIST_FOR_NOTE,0))</f>
        <v>10.1.1</v>
      </c>
      <c r="J84" s="1631"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631">
        <f>INDEX(TEMPLATE_NOTE_POINT_FHD,B84,MATCH(TEMPLATE_SPHERE,TEMPLATE_SPHERE_LIST_FOR_NOTE,0))</f>
        <v>0</v>
      </c>
      <c r="L84" s="1470" t="str">
        <f>IF(I84=0,"",I84)</f>
        <v>10.1.1</v>
      </c>
      <c r="M84" s="1470"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470" t="str">
        <f>IF(K84=0,"",K84)</f>
        <v/>
      </c>
      <c r="O84" s="1583" t="s">
        <v>2373</v>
      </c>
      <c r="P84" s="1583"/>
      <c r="Q84" s="1583"/>
      <c r="R84" s="1583"/>
      <c r="S84" s="1583"/>
      <c r="T84" s="1469" t="s">
        <v>2374</v>
      </c>
      <c r="U84" s="1469"/>
      <c r="V84" s="1469"/>
      <c r="W84" s="1469"/>
      <c r="X84" s="1469"/>
      <c r="Y84" s="1626"/>
      <c r="Z84" s="1472"/>
      <c r="AA84" s="1475"/>
      <c r="AB84" s="1472"/>
      <c r="AC84" s="1472"/>
      <c r="AD84" s="1472"/>
    </row>
    <row customHeight="1" ht="9">
      <c r="A85" s="1471"/>
      <c r="B85" s="1525">
        <v>68</v>
      </c>
      <c r="C85" s="1469"/>
      <c r="D85" s="1593"/>
      <c r="E85" s="1469"/>
      <c r="F85" s="1469"/>
      <c r="G85" s="1469"/>
      <c r="H85" s="1517"/>
      <c r="I85" s="1631" t="str">
        <f>INDEX(TEMPLATE_NUMBER_POINT_FHD,B85,MATCH(TEMPLATE_SPHERE,TEMPLATE_SPHERE_LIST_FOR_NOTE,0))</f>
        <v>10.2</v>
      </c>
      <c r="J85" s="1631" t="str">
        <f>INDEX(TEMPLATE_DATA_POINT_FHD,B85,MATCH(TEMPLATE_SPHERE,TEMPLATE_SPHERE_LIST_FOR_NOTE,0))</f>
        <v>Расчётным путём</v>
      </c>
      <c r="K85" s="1631">
        <f>INDEX(TEMPLATE_NOTE_POINT_FHD,B85,MATCH(TEMPLATE_SPHERE,TEMPLATE_SPHERE_LIST_FOR_NOTE,0))</f>
        <v>0</v>
      </c>
      <c r="L85" s="1470" t="str">
        <f>IF(I85=0,"",I85)</f>
        <v>10.2</v>
      </c>
      <c r="M85" s="1470" t="str">
        <f>IF(J85=0,"",J85)</f>
        <v>Расчётным путём</v>
      </c>
      <c r="N85" s="1470" t="str">
        <f>IF(K85=0,"",K85)</f>
        <v/>
      </c>
      <c r="O85" s="1583" t="s">
        <v>2263</v>
      </c>
      <c r="P85" s="1583"/>
      <c r="Q85" s="1583"/>
      <c r="R85" s="1583"/>
      <c r="S85" s="1583"/>
      <c r="T85" s="1469" t="s">
        <v>2375</v>
      </c>
      <c r="U85" s="1469"/>
      <c r="V85" s="1469"/>
      <c r="W85" s="1469"/>
      <c r="X85" s="1469"/>
      <c r="Y85" s="1626"/>
      <c r="Z85" s="1472"/>
      <c r="AA85" s="1475"/>
      <c r="AB85" s="1472"/>
      <c r="AC85" s="1472"/>
      <c r="AD85" s="1472"/>
    </row>
    <row customHeight="1" ht="27">
      <c r="A86" s="1471"/>
      <c r="B86" s="1525">
        <v>69</v>
      </c>
      <c r="C86" s="1469"/>
      <c r="D86" s="1593"/>
      <c r="E86" s="1469"/>
      <c r="F86" s="1469"/>
      <c r="G86" s="1469"/>
      <c r="H86" s="1517"/>
      <c r="I86" s="1631" t="str">
        <f>INDEX(TEMPLATE_NUMBER_POINT_FHD,B86,MATCH(TEMPLATE_SPHERE,TEMPLATE_SPHERE_LIST_FOR_NOTE,0))</f>
        <v>10.3</v>
      </c>
      <c r="J86" s="1631" t="str">
        <f>INDEX(TEMPLATE_DATA_POINT_FHD,B86,MATCH(TEMPLATE_SPHERE,TEMPLATE_SPHERE_LIST_FOR_NOTE,0))</f>
        <v>По нормативам потребления коммунальных услуг и нормативам потребления коммунальных ресурсов</v>
      </c>
      <c r="K86" s="1631">
        <f>INDEX(TEMPLATE_NOTE_POINT_FHD,B86,MATCH(TEMPLATE_SPHERE,TEMPLATE_SPHERE_LIST_FOR_NOTE,0))</f>
        <v>0</v>
      </c>
      <c r="L86" s="1470" t="str">
        <f>IF(I86=0,"",I86)</f>
        <v>10.3</v>
      </c>
      <c r="M86" s="1470" t="str">
        <f>IF(J86=0,"",J86)</f>
        <v>По нормативам потребления коммунальных услуг и нормативам потребления коммунальных ресурсов</v>
      </c>
      <c r="N86" s="1470" t="str">
        <f>IF(K86=0,"",K86)</f>
        <v/>
      </c>
      <c r="O86" s="1583" t="s">
        <v>2376</v>
      </c>
      <c r="P86" s="1583"/>
      <c r="Q86" s="1583"/>
      <c r="R86" s="1583"/>
      <c r="S86" s="1583"/>
      <c r="T86" s="1469" t="s">
        <v>2377</v>
      </c>
      <c r="U86" s="1469"/>
      <c r="V86" s="1469"/>
      <c r="W86" s="1469"/>
      <c r="X86" s="1469"/>
      <c r="Y86" s="1626"/>
      <c r="Z86" s="1472"/>
      <c r="AA86" s="1475"/>
      <c r="AB86" s="1472"/>
      <c r="AC86" s="1472"/>
      <c r="AD86" s="1472"/>
    </row>
    <row customHeight="1" ht="36">
      <c r="A87" s="1471"/>
      <c r="B87" s="1525">
        <v>70</v>
      </c>
      <c r="C87" s="1469" t="s">
        <v>2378</v>
      </c>
      <c r="D87" s="1593"/>
      <c r="E87" s="1469"/>
      <c r="F87" s="1469"/>
      <c r="G87" s="1469"/>
      <c r="H87" s="1517"/>
      <c r="I87" s="1631" t="str">
        <f>INDEX(TEMPLATE_NUMBER_POINT_FHD,B87,MATCH(TEMPLATE_SPHERE,TEMPLATE_SPHERE_LIST_FOR_NOTE,0))</f>
        <v>11</v>
      </c>
      <c r="J87" s="1631"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631">
        <f>INDEX(TEMPLATE_NOTE_POINT_FHD,B87,MATCH(TEMPLATE_SPHERE,TEMPLATE_SPHERE_LIST_FOR_NOTE,0))</f>
        <v>0</v>
      </c>
      <c r="L87" s="1470" t="str">
        <f>IF(I87=0,"",I87)</f>
        <v>11</v>
      </c>
      <c r="M87" s="1470" t="str">
        <f>IF(J87=0,"",J87)</f>
        <v>Нормативы технологических потерь при передаче тепловой энергии, теплоносителя по тепловым сетям, утвержденные уполномоченным органом</v>
      </c>
      <c r="N87" s="1470" t="str">
        <f>IF(K87=0,"",K87)</f>
        <v/>
      </c>
      <c r="O87" s="1583" t="s">
        <v>170</v>
      </c>
      <c r="P87" s="1583"/>
      <c r="Q87" s="1583"/>
      <c r="R87" s="1583"/>
      <c r="S87" s="1583"/>
      <c r="T87" s="1469" t="s">
        <v>2379</v>
      </c>
      <c r="U87" s="1469"/>
      <c r="V87" s="1469"/>
      <c r="W87" s="1469"/>
      <c r="X87" s="1469"/>
      <c r="Y87" s="1626"/>
      <c r="Z87" s="1472"/>
      <c r="AA87" s="1475"/>
      <c r="AB87" s="1472"/>
      <c r="AC87" s="1472"/>
      <c r="AD87" s="1472"/>
    </row>
    <row customHeight="1" ht="18">
      <c r="A88" s="1471"/>
      <c r="B88" s="1525">
        <v>71</v>
      </c>
      <c r="C88" s="1469" t="s">
        <v>2380</v>
      </c>
      <c r="D88" s="1593"/>
      <c r="E88" s="1469"/>
      <c r="F88" s="1469"/>
      <c r="G88" s="1469"/>
      <c r="H88" s="1517"/>
      <c r="I88" s="1631" t="str">
        <f>INDEX(TEMPLATE_NUMBER_POINT_FHD,B88,MATCH(TEMPLATE_SPHERE,TEMPLATE_SPHERE_LIST_FOR_NOTE,0))</f>
        <v>12</v>
      </c>
      <c r="J88" s="1631" t="str">
        <f>INDEX(TEMPLATE_DATA_POINT_FHD,B88,MATCH(TEMPLATE_SPHERE,TEMPLATE_SPHERE_LIST_FOR_NOTE,0))</f>
        <v>Фактический объем потерь при передаче тепловой энергии</v>
      </c>
      <c r="K88" s="1631">
        <f>INDEX(TEMPLATE_NOTE_POINT_FHD,B88,MATCH(TEMPLATE_SPHERE,TEMPLATE_SPHERE_LIST_FOR_NOTE,0))</f>
        <v>0</v>
      </c>
      <c r="L88" s="1470" t="str">
        <f>IF(I88=0,"",I88)</f>
        <v>12</v>
      </c>
      <c r="M88" s="1470" t="str">
        <f>IF(J88=0,"",J88)</f>
        <v>Фактический объем потерь при передаче тепловой энергии</v>
      </c>
      <c r="N88" s="1470" t="str">
        <f>IF(K88=0,"",K88)</f>
        <v/>
      </c>
      <c r="O88" s="1583" t="s">
        <v>171</v>
      </c>
      <c r="P88" s="1583"/>
      <c r="Q88" s="1583"/>
      <c r="R88" s="1583"/>
      <c r="S88" s="1583"/>
      <c r="T88" s="1469" t="s">
        <v>688</v>
      </c>
      <c r="U88" s="1469"/>
      <c r="V88" s="1469"/>
      <c r="W88" s="1469"/>
      <c r="X88" s="1469"/>
      <c r="Y88" s="1626"/>
      <c r="Z88" s="1472"/>
      <c r="AA88" s="1475"/>
      <c r="AB88" s="1472"/>
      <c r="AC88" s="1472"/>
      <c r="AD88" s="1472"/>
    </row>
    <row customHeight="1" ht="18">
      <c r="A89" s="1471"/>
      <c r="B89" s="1525">
        <v>72</v>
      </c>
      <c r="C89" s="1469" t="s">
        <v>2381</v>
      </c>
      <c r="D89" s="1593" t="s">
        <v>2378</v>
      </c>
      <c r="E89" s="1469" t="s">
        <v>2378</v>
      </c>
      <c r="F89" s="1469" t="s">
        <v>2344</v>
      </c>
      <c r="G89" s="1469"/>
      <c r="H89" s="1517"/>
      <c r="I89" s="1631" t="str">
        <f>INDEX(TEMPLATE_NUMBER_POINT_FHD,B89,MATCH(TEMPLATE_SPHERE,TEMPLATE_SPHERE_LIST_FOR_NOTE,0))</f>
        <v>13</v>
      </c>
      <c r="J89" s="1631" t="str">
        <f>INDEX(TEMPLATE_DATA_POINT_FHD,B89,MATCH(TEMPLATE_SPHERE,TEMPLATE_SPHERE_LIST_FOR_NOTE,0))</f>
        <v>Среднесписочная численность основного производственного персонала</v>
      </c>
      <c r="K89" s="1631">
        <f>INDEX(TEMPLATE_NOTE_POINT_FHD,B89,MATCH(TEMPLATE_SPHERE,TEMPLATE_SPHERE_LIST_FOR_NOTE,0))</f>
        <v>0</v>
      </c>
      <c r="L89" s="1470" t="str">
        <f>IF(I89=0,"",I89)</f>
        <v>13</v>
      </c>
      <c r="M89" s="1470" t="str">
        <f>IF(J89=0,"",J89)</f>
        <v>Среднесписочная численность основного производственного персонала</v>
      </c>
      <c r="N89" s="1470" t="str">
        <f>IF(K89=0,"",K89)</f>
        <v/>
      </c>
      <c r="O89" s="1583" t="s">
        <v>172</v>
      </c>
      <c r="P89" s="1583" t="s">
        <v>171</v>
      </c>
      <c r="Q89" s="1583" t="s">
        <v>171</v>
      </c>
      <c r="R89" s="1583" t="s">
        <v>169</v>
      </c>
      <c r="S89" s="1583"/>
      <c r="T89" s="1469" t="s">
        <v>696</v>
      </c>
      <c r="U89" s="1469" t="s">
        <v>696</v>
      </c>
      <c r="V89" s="1469" t="s">
        <v>696</v>
      </c>
      <c r="W89" s="1469" t="s">
        <v>696</v>
      </c>
      <c r="X89" s="1469"/>
      <c r="Y89" s="1626"/>
      <c r="Z89" s="1472"/>
      <c r="AA89" s="1475"/>
      <c r="AB89" s="1472"/>
      <c r="AC89" s="1472"/>
      <c r="AD89" s="1472"/>
    </row>
    <row customHeight="1" ht="27">
      <c r="A90" s="1471"/>
      <c r="B90" s="1525">
        <v>73</v>
      </c>
      <c r="C90" s="1469" t="s">
        <v>2382</v>
      </c>
      <c r="D90" s="1593"/>
      <c r="E90" s="1469"/>
      <c r="F90" s="1469"/>
      <c r="G90" s="1469"/>
      <c r="H90" s="1517"/>
      <c r="I90" s="1631" t="str">
        <f>INDEX(TEMPLATE_NUMBER_POINT_FHD,B90,MATCH(TEMPLATE_SPHERE,TEMPLATE_SPHERE_LIST_FOR_NOTE,0))</f>
        <v>14</v>
      </c>
      <c r="J90" s="1631" t="str">
        <f>INDEX(TEMPLATE_DATA_POINT_FHD,B90,MATCH(TEMPLATE_SPHERE,TEMPLATE_SPHERE_LIST_FOR_NOTE,0))</f>
        <v>Среднесписочная численность административно-управленческого персонала</v>
      </c>
      <c r="K90" s="1631">
        <f>INDEX(TEMPLATE_NOTE_POINT_FHD,B90,MATCH(TEMPLATE_SPHERE,TEMPLATE_SPHERE_LIST_FOR_NOTE,0))</f>
        <v>0</v>
      </c>
      <c r="L90" s="1470" t="str">
        <f>IF(I90=0,"",I90)</f>
        <v>14</v>
      </c>
      <c r="M90" s="1470" t="str">
        <f>IF(J90=0,"",J90)</f>
        <v>Среднесписочная численность административно-управленческого персонала</v>
      </c>
      <c r="N90" s="1470" t="str">
        <f>IF(K90=0,"",K90)</f>
        <v/>
      </c>
      <c r="O90" s="1583" t="s">
        <v>173</v>
      </c>
      <c r="P90" s="1583"/>
      <c r="Q90" s="1583"/>
      <c r="R90" s="1583"/>
      <c r="S90" s="1583"/>
      <c r="T90" s="1469" t="s">
        <v>698</v>
      </c>
      <c r="U90" s="1469"/>
      <c r="V90" s="1469"/>
      <c r="W90" s="1469"/>
      <c r="X90" s="1469"/>
      <c r="Y90" s="1626"/>
      <c r="Z90" s="1472"/>
      <c r="AA90" s="1475"/>
      <c r="AB90" s="1472"/>
      <c r="AC90" s="1472"/>
      <c r="AD90" s="1472"/>
    </row>
    <row customHeight="1" ht="18">
      <c r="A91" s="1471"/>
      <c r="B91" s="1525">
        <v>74</v>
      </c>
      <c r="C91" s="1469"/>
      <c r="D91" s="1593" t="s">
        <v>2380</v>
      </c>
      <c r="E91" s="1469" t="s">
        <v>2380</v>
      </c>
      <c r="F91" s="1469"/>
      <c r="G91" s="1469"/>
      <c r="H91" s="1517"/>
      <c r="I91" s="1631">
        <f>INDEX(TEMPLATE_NUMBER_POINT_FHD,B91,MATCH(TEMPLATE_SPHERE,TEMPLATE_SPHERE_LIST_FOR_NOTE,0))</f>
        <v>0</v>
      </c>
      <c r="J91" s="1631">
        <f>INDEX(TEMPLATE_DATA_POINT_FHD,B91,MATCH(TEMPLATE_SPHERE,TEMPLATE_SPHERE_LIST_FOR_NOTE,0))</f>
        <v>0</v>
      </c>
      <c r="K91" s="1631">
        <f>INDEX(TEMPLATE_NOTE_POINT_FHD,B91,MATCH(TEMPLATE_SPHERE,TEMPLATE_SPHERE_LIST_FOR_NOTE,0))</f>
        <v>0</v>
      </c>
      <c r="L91" s="1470" t="str">
        <f>IF(I91=0,"",I91)</f>
        <v/>
      </c>
      <c r="M91" s="1470" t="str">
        <f>IF(J91=0,"",J91)</f>
        <v/>
      </c>
      <c r="N91" s="1470" t="str">
        <f>IF(K91=0,"",K91)</f>
        <v/>
      </c>
      <c r="O91" s="1583"/>
      <c r="P91" s="1583" t="s">
        <v>172</v>
      </c>
      <c r="Q91" s="1583" t="s">
        <v>172</v>
      </c>
      <c r="R91" s="1583"/>
      <c r="S91" s="1583"/>
      <c r="T91" s="1469"/>
      <c r="U91" s="1469" t="s">
        <v>2383</v>
      </c>
      <c r="V91" s="1469" t="s">
        <v>2383</v>
      </c>
      <c r="W91" s="1469"/>
      <c r="X91" s="1469"/>
      <c r="Y91" s="1626"/>
      <c r="Z91" s="1472"/>
      <c r="AA91" s="1475"/>
      <c r="AB91" s="1472"/>
      <c r="AC91" s="1472"/>
      <c r="AD91" s="1472"/>
    </row>
    <row customHeight="1" ht="27">
      <c r="A92" s="1471"/>
      <c r="B92" s="1525">
        <v>75</v>
      </c>
      <c r="C92" s="1469"/>
      <c r="D92" s="1593" t="s">
        <v>2381</v>
      </c>
      <c r="E92" s="1469"/>
      <c r="F92" s="1469"/>
      <c r="G92" s="1469"/>
      <c r="H92" s="1517"/>
      <c r="I92" s="1631">
        <f>INDEX(TEMPLATE_NUMBER_POINT_FHD,B92,MATCH(TEMPLATE_SPHERE,TEMPLATE_SPHERE_LIST_FOR_NOTE,0))</f>
        <v>0</v>
      </c>
      <c r="J92" s="1631">
        <f>INDEX(TEMPLATE_DATA_POINT_FHD,B92,MATCH(TEMPLATE_SPHERE,TEMPLATE_SPHERE_LIST_FOR_NOTE,0))</f>
        <v>0</v>
      </c>
      <c r="K92" s="1631">
        <f>INDEX(TEMPLATE_NOTE_POINT_FHD,B92,MATCH(TEMPLATE_SPHERE,TEMPLATE_SPHERE_LIST_FOR_NOTE,0))</f>
        <v>0</v>
      </c>
      <c r="L92" s="1470" t="str">
        <f>IF(I92=0,"",I92)</f>
        <v/>
      </c>
      <c r="M92" s="1470" t="str">
        <f>IF(J92=0,"",J92)</f>
        <v/>
      </c>
      <c r="N92" s="1470" t="str">
        <f>IF(K92=0,"",K92)</f>
        <v/>
      </c>
      <c r="O92" s="1583"/>
      <c r="P92" s="1583" t="s">
        <v>173</v>
      </c>
      <c r="Q92" s="1583"/>
      <c r="R92" s="1583"/>
      <c r="S92" s="1583"/>
      <c r="T92" s="1469"/>
      <c r="U92" s="1469" t="s">
        <v>2384</v>
      </c>
      <c r="V92" s="1469"/>
      <c r="W92" s="1469"/>
      <c r="X92" s="1469"/>
      <c r="Y92" s="1626"/>
      <c r="Z92" s="1472"/>
      <c r="AA92" s="1475" t="s">
        <v>2385</v>
      </c>
      <c r="AB92" s="1472"/>
      <c r="AC92" s="1472"/>
      <c r="AD92" s="1472"/>
    </row>
    <row customHeight="1" ht="27">
      <c r="A93" s="1471"/>
      <c r="B93" s="1525">
        <v>76</v>
      </c>
      <c r="C93" s="1469"/>
      <c r="D93" s="1593"/>
      <c r="E93" s="1469"/>
      <c r="F93" s="1469"/>
      <c r="G93" s="1469"/>
      <c r="H93" s="1517"/>
      <c r="I93" s="1631">
        <f>INDEX(TEMPLATE_NUMBER_POINT_FHD,B93,MATCH(TEMPLATE_SPHERE,TEMPLATE_SPHERE_LIST_FOR_NOTE,0))</f>
        <v>0</v>
      </c>
      <c r="J93" s="1631">
        <f>INDEX(TEMPLATE_DATA_POINT_FHD,B93,MATCH(TEMPLATE_SPHERE,TEMPLATE_SPHERE_LIST_FOR_NOTE,0))</f>
        <v>0</v>
      </c>
      <c r="K93" s="1631">
        <f>INDEX(TEMPLATE_NOTE_POINT_FHD,B93,MATCH(TEMPLATE_SPHERE,TEMPLATE_SPHERE_LIST_FOR_NOTE,0))</f>
        <v>0</v>
      </c>
      <c r="L93" s="1470" t="str">
        <f>IF(I93=0,"",I93)</f>
        <v/>
      </c>
      <c r="M93" s="1470" t="str">
        <f>IF(J93=0,"",J93)</f>
        <v/>
      </c>
      <c r="N93" s="1470" t="str">
        <f>IF(K93=0,"",K93)</f>
        <v/>
      </c>
      <c r="O93" s="1583"/>
      <c r="P93" s="1583" t="s">
        <v>2291</v>
      </c>
      <c r="Q93" s="1583"/>
      <c r="R93" s="1583"/>
      <c r="S93" s="1583"/>
      <c r="T93" s="1469"/>
      <c r="U93" s="1469" t="s">
        <v>2386</v>
      </c>
      <c r="V93" s="1469"/>
      <c r="W93" s="1469"/>
      <c r="X93" s="1469"/>
      <c r="Y93" s="1626"/>
      <c r="Z93" s="1472"/>
      <c r="AA93" s="1475" t="s">
        <v>2387</v>
      </c>
      <c r="AB93" s="1472"/>
      <c r="AC93" s="1472"/>
      <c r="AD93" s="1472"/>
    </row>
    <row customHeight="1" ht="45">
      <c r="A94" s="1471"/>
      <c r="B94" s="1525">
        <v>77</v>
      </c>
      <c r="C94" s="1469"/>
      <c r="D94" s="1593" t="s">
        <v>2382</v>
      </c>
      <c r="E94" s="1469"/>
      <c r="F94" s="1469"/>
      <c r="G94" s="1469"/>
      <c r="H94" s="1517"/>
      <c r="I94" s="1631">
        <f>INDEX(TEMPLATE_NUMBER_POINT_FHD,B94,MATCH(TEMPLATE_SPHERE,TEMPLATE_SPHERE_LIST_FOR_NOTE,0))</f>
        <v>0</v>
      </c>
      <c r="J94" s="1631">
        <f>INDEX(TEMPLATE_DATA_POINT_FHD,B94,MATCH(TEMPLATE_SPHERE,TEMPLATE_SPHERE_LIST_FOR_NOTE,0))</f>
        <v>0</v>
      </c>
      <c r="K94" s="1631">
        <f>INDEX(TEMPLATE_NOTE_POINT_FHD,B94,MATCH(TEMPLATE_SPHERE,TEMPLATE_SPHERE_LIST_FOR_NOTE,0))</f>
        <v>0</v>
      </c>
      <c r="L94" s="1470" t="str">
        <f>IF(I94=0,"",I94)</f>
        <v/>
      </c>
      <c r="M94" s="1470" t="str">
        <f>IF(J94=0,"",J94)</f>
        <v/>
      </c>
      <c r="N94" s="1470" t="str">
        <f>IF(K94=0,"",K94)</f>
        <v/>
      </c>
      <c r="O94" s="1583"/>
      <c r="P94" s="1583" t="s">
        <v>1642</v>
      </c>
      <c r="Q94" s="1583"/>
      <c r="R94" s="1583"/>
      <c r="S94" s="1583"/>
      <c r="T94" s="1469"/>
      <c r="U94" s="1469" t="s">
        <v>2388</v>
      </c>
      <c r="V94" s="1469"/>
      <c r="W94" s="1469"/>
      <c r="X94" s="1469"/>
      <c r="Y94" s="1626"/>
      <c r="Z94" s="1472"/>
      <c r="AA94" s="1475" t="s">
        <v>2389</v>
      </c>
      <c r="AB94" s="1472"/>
      <c r="AC94" s="1472"/>
      <c r="AD94" s="1472"/>
    </row>
    <row customHeight="1" ht="99">
      <c r="A95" s="1471"/>
      <c r="B95" s="1525">
        <v>78</v>
      </c>
      <c r="C95" s="1469" t="s">
        <v>2390</v>
      </c>
      <c r="D95" s="1593"/>
      <c r="E95" s="1469"/>
      <c r="F95" s="1469"/>
      <c r="G95" s="1469"/>
      <c r="H95" s="1517"/>
      <c r="I95" s="1631" t="str">
        <f>INDEX(TEMPLATE_NUMBER_POINT_FHD,B95,MATCH(TEMPLATE_SPHERE,TEMPLATE_SPHERE_LIST_FOR_NOTE,0))</f>
        <v>15</v>
      </c>
      <c r="J95" s="1631"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631">
        <f>INDEX(TEMPLATE_NOTE_POINT_FHD,B95,MATCH(TEMPLATE_SPHERE,TEMPLATE_SPHERE_LIST_FOR_NOTE,0))</f>
        <v>0</v>
      </c>
      <c r="L95" s="1470" t="str">
        <f>IF(I95=0,"",I95)</f>
        <v>15</v>
      </c>
      <c r="M95" s="1470"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470" t="str">
        <f>IF(K95=0,"",K95)</f>
        <v/>
      </c>
      <c r="O95" s="1583" t="s">
        <v>1642</v>
      </c>
      <c r="P95" s="1583"/>
      <c r="Q95" s="1583"/>
      <c r="R95" s="1583"/>
      <c r="S95" s="1583"/>
      <c r="T95" s="1469" t="s">
        <v>2391</v>
      </c>
      <c r="U95" s="1469"/>
      <c r="V95" s="1469"/>
      <c r="W95" s="1469"/>
      <c r="X95" s="1469"/>
      <c r="Y95" s="1626"/>
      <c r="Z95" s="1472"/>
      <c r="AA95" s="1475"/>
      <c r="AB95" s="1472"/>
      <c r="AC95" s="1472"/>
      <c r="AD95" s="1472"/>
    </row>
    <row customHeight="1" ht="99">
      <c r="A96" s="1471"/>
      <c r="B96" s="1525">
        <v>79</v>
      </c>
      <c r="C96" s="1469" t="s">
        <v>1330</v>
      </c>
      <c r="D96" s="1593"/>
      <c r="E96" s="1469"/>
      <c r="F96" s="1469"/>
      <c r="G96" s="1469"/>
      <c r="H96" s="1517"/>
      <c r="I96" s="1631" t="str">
        <f>INDEX(TEMPLATE_NUMBER_POINT_FHD,B96,MATCH(TEMPLATE_SPHERE,TEMPLATE_SPHERE_LIST_FOR_NOTE,0))</f>
        <v>16</v>
      </c>
      <c r="J96" s="1631"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631"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470" t="str">
        <f>IF(I96=0,"",I96)</f>
        <v>16</v>
      </c>
      <c r="M96" s="1470"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470"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583" t="s">
        <v>1648</v>
      </c>
      <c r="P96" s="1583"/>
      <c r="Q96" s="1583"/>
      <c r="R96" s="1583"/>
      <c r="S96" s="1583"/>
      <c r="T96" s="1469" t="s">
        <v>2392</v>
      </c>
      <c r="U96" s="1469"/>
      <c r="V96" s="1469"/>
      <c r="W96" s="1469"/>
      <c r="X96" s="1469"/>
      <c r="Y96" s="1626"/>
      <c r="Z96" s="1472" t="s">
        <v>2393</v>
      </c>
      <c r="AA96" s="1475"/>
      <c r="AB96" s="1472"/>
      <c r="AC96" s="1472"/>
      <c r="AD96" s="1472"/>
    </row>
    <row customHeight="1" ht="63">
      <c r="A97" s="1471"/>
      <c r="B97" s="1525">
        <v>80</v>
      </c>
      <c r="C97" s="1469" t="s">
        <v>2394</v>
      </c>
      <c r="D97" s="1593"/>
      <c r="E97" s="1469"/>
      <c r="F97" s="1469"/>
      <c r="G97" s="1469"/>
      <c r="H97" s="1517"/>
      <c r="I97" s="1631" t="str">
        <f>INDEX(TEMPLATE_NUMBER_POINT_FHD,B97,MATCH(TEMPLATE_SPHERE,TEMPLATE_SPHERE_LIST_FOR_NOTE,0))</f>
        <v>17</v>
      </c>
      <c r="J97" s="1631"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631"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470" t="str">
        <f>IF(I97=0,"",I97)</f>
        <v>17</v>
      </c>
      <c r="M97" s="1470"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470" t="str">
        <f>IF(K97=0,"",K97)</f>
        <v>Регулируемыми организациями указывается информация с по договорам, заключенным в рамках осуществления регулируемой деятельности.</v>
      </c>
      <c r="O97" s="1583" t="s">
        <v>1660</v>
      </c>
      <c r="P97" s="1583"/>
      <c r="Q97" s="1583"/>
      <c r="R97" s="1583"/>
      <c r="S97" s="1583"/>
      <c r="T97" s="1469" t="s">
        <v>2395</v>
      </c>
      <c r="U97" s="1469"/>
      <c r="V97" s="1469"/>
      <c r="W97" s="1469"/>
      <c r="X97" s="1469"/>
      <c r="Y97" s="1626"/>
      <c r="Z97" s="1472" t="s">
        <v>2396</v>
      </c>
      <c r="AA97" s="1475"/>
      <c r="AB97" s="1472"/>
      <c r="AC97" s="1472"/>
      <c r="AD97" s="1472"/>
    </row>
    <row customHeight="1" ht="63">
      <c r="A98" s="1471"/>
      <c r="B98" s="1525">
        <v>81</v>
      </c>
      <c r="C98" s="1469" t="s">
        <v>2397</v>
      </c>
      <c r="D98" s="1593"/>
      <c r="E98" s="1469"/>
      <c r="F98" s="1469"/>
      <c r="G98" s="1469"/>
      <c r="H98" s="1517"/>
      <c r="I98" s="1631" t="str">
        <f>INDEX(TEMPLATE_NUMBER_POINT_FHD,B98,MATCH(TEMPLATE_SPHERE,TEMPLATE_SPHERE_LIST_FOR_NOTE,0))</f>
        <v>18</v>
      </c>
      <c r="J98" s="1631"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631"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470" t="str">
        <f>IF(I98=0,"",I98)</f>
        <v>18</v>
      </c>
      <c r="M98" s="1470"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470" t="str">
        <f>IF(K98=0,"",K98)</f>
        <v>Регулируемыми организациями указывается информация с по договорам, заключенным в рамках осуществления регулируемой деятельности.</v>
      </c>
      <c r="O98" s="1583" t="s">
        <v>1674</v>
      </c>
      <c r="P98" s="1583"/>
      <c r="Q98" s="1583"/>
      <c r="R98" s="1583"/>
      <c r="S98" s="1583"/>
      <c r="T98" s="1469" t="s">
        <v>2398</v>
      </c>
      <c r="U98" s="1469"/>
      <c r="V98" s="1469"/>
      <c r="W98" s="1469"/>
      <c r="X98" s="1469"/>
      <c r="Y98" s="1626"/>
      <c r="Z98" s="1472" t="s">
        <v>2396</v>
      </c>
      <c r="AA98" s="1475"/>
      <c r="AB98" s="1472"/>
      <c r="AC98" s="1472"/>
      <c r="AD98" s="1472"/>
    </row>
    <row customHeight="1" ht="90">
      <c r="A99" s="1471"/>
      <c r="B99" s="1525">
        <v>82</v>
      </c>
      <c r="C99" s="1469" t="s">
        <v>2399</v>
      </c>
      <c r="D99" s="1593"/>
      <c r="E99" s="1469"/>
      <c r="F99" s="1469"/>
      <c r="G99" s="1469"/>
      <c r="H99" s="1517"/>
      <c r="I99" s="1631" t="str">
        <f>INDEX(TEMPLATE_NUMBER_POINT_FHD,B99,MATCH(TEMPLATE_SPHERE,TEMPLATE_SPHERE_LIST_FOR_NOTE,0))</f>
        <v>19</v>
      </c>
      <c r="J99" s="1631"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631" t="str">
        <f>INDEX(TEMPLATE_NOTE_POINT_FHD,B99,MATCH(TEMPLATE_SPHERE,TEMPLATE_SPHERE_LIST_FOR_NOTE,0))</f>
        <v>Указывается ссылка на документ, предварительно загруженный в хранилище файлов ФГИС ЕИАС.</v>
      </c>
      <c r="L99" s="1470" t="str">
        <f>IF(I99=0,"",I99)</f>
        <v>19</v>
      </c>
      <c r="M99" s="1470"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470" t="str">
        <f>IF(K99=0,"",K99)</f>
        <v>Указывается ссылка на документ, предварительно загруженный в хранилище файлов ФГИС ЕИАС.</v>
      </c>
      <c r="O99" s="1583" t="s">
        <v>1686</v>
      </c>
      <c r="P99" s="1583"/>
      <c r="Q99" s="1583"/>
      <c r="R99" s="1583"/>
      <c r="S99" s="1583"/>
      <c r="T99" s="1469" t="s">
        <v>2400</v>
      </c>
      <c r="U99" s="1469"/>
      <c r="V99" s="1469"/>
      <c r="W99" s="1469"/>
      <c r="X99" s="1469"/>
      <c r="Y99" s="1626"/>
      <c r="Z99" s="1472" t="s">
        <v>653</v>
      </c>
      <c r="AA99" s="1475"/>
      <c r="AB99" s="1472"/>
      <c r="AC99" s="1472"/>
      <c r="AD99" s="1472"/>
    </row>
    <row customHeight="1" ht="27">
      <c r="A100" s="1471"/>
      <c r="B100" s="1525">
        <v>83</v>
      </c>
      <c r="C100" s="1469"/>
      <c r="D100" s="1593"/>
      <c r="E100" s="1469"/>
      <c r="F100" s="1469"/>
      <c r="G100" s="1469"/>
      <c r="H100" s="1517"/>
      <c r="I100" s="1631" t="str">
        <f>INDEX(TEMPLATE_NUMBER_POINT_FHD,B100,MATCH(TEMPLATE_SPHERE,TEMPLATE_SPHERE_LIST_FOR_NOTE,0))</f>
        <v>19.1</v>
      </c>
      <c r="J100" s="1631" t="str">
        <f>INDEX(TEMPLATE_DATA_POINT_FHD,B100,MATCH(TEMPLATE_SPHERE,TEMPLATE_SPHERE_LIST_FOR_NOTE,0))</f>
        <v>Информация о показателях физического износа объектов теплоснабжения</v>
      </c>
      <c r="K100" s="1631" t="str">
        <f>INDEX(TEMPLATE_NOTE_POINT_FHD,B100,MATCH(TEMPLATE_SPHERE,TEMPLATE_SPHERE_LIST_FOR_NOTE,0))</f>
        <v>Указывается ссылка на документ, предварительно загруженный в хранилище файлов ФГИС ЕИАС.</v>
      </c>
      <c r="L100" s="1470" t="str">
        <f>IF(I100=0,"",I100)</f>
        <v>19.1</v>
      </c>
      <c r="M100" s="1470" t="str">
        <f>IF(J100=0,"",J100)</f>
        <v>Информация о показателях физического износа объектов теплоснабжения</v>
      </c>
      <c r="N100" s="1470" t="str">
        <f>IF(K100=0,"",K100)</f>
        <v>Указывается ссылка на документ, предварительно загруженный в хранилище файлов ФГИС ЕИАС.</v>
      </c>
      <c r="O100" s="1583" t="s">
        <v>2401</v>
      </c>
      <c r="P100" s="1583"/>
      <c r="Q100" s="1583"/>
      <c r="R100" s="1583"/>
      <c r="S100" s="1583"/>
      <c r="T100" s="1469" t="s">
        <v>2402</v>
      </c>
      <c r="U100" s="1469"/>
      <c r="V100" s="1469"/>
      <c r="W100" s="1469"/>
      <c r="X100" s="1469"/>
      <c r="Y100" s="1626"/>
      <c r="Z100" s="1472" t="s">
        <v>653</v>
      </c>
      <c r="AA100" s="1475"/>
      <c r="AB100" s="1472"/>
      <c r="AC100" s="1472"/>
      <c r="AD100" s="1472"/>
    </row>
    <row customHeight="1" ht="27">
      <c r="A101" s="1471"/>
      <c r="B101" s="1525">
        <v>84</v>
      </c>
      <c r="C101" s="1469"/>
      <c r="D101" s="1593"/>
      <c r="E101" s="1469"/>
      <c r="F101" s="1469"/>
      <c r="G101" s="1469"/>
      <c r="H101" s="1517"/>
      <c r="I101" s="1631" t="str">
        <f>INDEX(TEMPLATE_NUMBER_POINT_FHD,B101,MATCH(TEMPLATE_SPHERE,TEMPLATE_SPHERE_LIST_FOR_NOTE,0))</f>
        <v>19.2</v>
      </c>
      <c r="J101" s="1631" t="str">
        <f>INDEX(TEMPLATE_DATA_POINT_FHD,B101,MATCH(TEMPLATE_SPHERE,TEMPLATE_SPHERE_LIST_FOR_NOTE,0))</f>
        <v>Информация о показателях энергетической эффективности объектов теплоснабжения</v>
      </c>
      <c r="K101" s="1631" t="str">
        <f>INDEX(TEMPLATE_NOTE_POINT_FHD,B101,MATCH(TEMPLATE_SPHERE,TEMPLATE_SPHERE_LIST_FOR_NOTE,0))</f>
        <v>Указывается ссылка на документ, предварительно загруженный в хранилище файлов ФГИС ЕИАС.</v>
      </c>
      <c r="L101" s="1470" t="str">
        <f>IF(I101=0,"",I101)</f>
        <v>19.2</v>
      </c>
      <c r="M101" s="1470" t="str">
        <f>IF(J101=0,"",J101)</f>
        <v>Информация о показателях энергетической эффективности объектов теплоснабжения</v>
      </c>
      <c r="N101" s="1470" t="str">
        <f>IF(K101=0,"",K101)</f>
        <v>Указывается ссылка на документ, предварительно загруженный в хранилище файлов ФГИС ЕИАС.</v>
      </c>
      <c r="O101" s="1583" t="s">
        <v>2403</v>
      </c>
      <c r="P101" s="1583"/>
      <c r="Q101" s="1583"/>
      <c r="R101" s="1583"/>
      <c r="S101" s="1583"/>
      <c r="T101" s="1469" t="s">
        <v>2404</v>
      </c>
      <c r="U101" s="1469"/>
      <c r="V101" s="1469"/>
      <c r="W101" s="1469"/>
      <c r="X101" s="1469"/>
      <c r="Y101" s="1626"/>
      <c r="Z101" s="1472" t="s">
        <v>653</v>
      </c>
      <c r="AA101" s="1475"/>
      <c r="AB101" s="1472"/>
      <c r="AC101" s="1472"/>
      <c r="AD101" s="1472"/>
    </row>
    <row customHeight="1" ht="9">
      <c r="A102" s="1471"/>
      <c r="B102" s="1471"/>
      <c r="C102" s="1469"/>
      <c r="D102" s="1469"/>
      <c r="E102" s="1469"/>
      <c r="F102" s="1469"/>
      <c r="G102" s="1469"/>
      <c r="H102" s="1517"/>
      <c r="I102" s="1517"/>
      <c r="J102" s="1517"/>
      <c r="K102" s="1517"/>
      <c r="L102" s="1517"/>
      <c r="M102" s="1469"/>
      <c r="N102" s="1516"/>
      <c r="O102" s="1583"/>
      <c r="P102" s="1583"/>
      <c r="Q102" s="1583"/>
      <c r="R102" s="1583"/>
      <c r="S102" s="1469"/>
      <c r="T102" s="1469"/>
      <c r="U102" s="1469"/>
      <c r="V102" s="1469"/>
      <c r="W102" s="1469"/>
      <c r="X102" s="1469"/>
      <c r="Y102" s="1626"/>
      <c r="Z102" s="1472"/>
      <c r="AA102" s="1475"/>
      <c r="AB102" s="1472"/>
      <c r="AC102" s="1472"/>
      <c r="AD102" s="1472"/>
    </row>
    <row customHeight="1" ht="9">
      <c r="A103" s="1471"/>
      <c r="B103" s="1471"/>
      <c r="C103" s="1469"/>
      <c r="D103" s="1469"/>
      <c r="E103" s="1469"/>
      <c r="F103" s="1469"/>
      <c r="G103" s="1469"/>
      <c r="H103" s="1517"/>
      <c r="I103" s="1517"/>
      <c r="J103" s="1517"/>
      <c r="K103" s="1517"/>
      <c r="L103" s="1517"/>
      <c r="M103" s="1469"/>
      <c r="N103" s="1516"/>
      <c r="O103" s="1583"/>
      <c r="P103" s="1583"/>
      <c r="Q103" s="1583"/>
      <c r="R103" s="1583"/>
      <c r="S103" s="1469"/>
      <c r="T103" s="1469"/>
      <c r="U103" s="1469"/>
      <c r="V103" s="1469"/>
      <c r="W103" s="1469"/>
      <c r="X103" s="1469"/>
      <c r="Y103" s="1626"/>
      <c r="Z103" s="1472"/>
      <c r="AA103" s="1475"/>
      <c r="AB103" s="1472"/>
      <c r="AC103" s="1472"/>
      <c r="AD103" s="1472"/>
    </row>
    <row customHeight="1" ht="9">
      <c r="A104" s="1471"/>
      <c r="B104" s="1471"/>
      <c r="C104" s="1469"/>
      <c r="D104" s="1469"/>
      <c r="E104" s="1469"/>
      <c r="F104" s="1469"/>
      <c r="G104" s="1469"/>
      <c r="H104" s="1517"/>
      <c r="I104" s="1517"/>
      <c r="J104" s="1517"/>
      <c r="K104" s="1517"/>
      <c r="L104" s="1517"/>
      <c r="M104" s="1469"/>
      <c r="N104" s="1516"/>
      <c r="O104" s="1583"/>
      <c r="P104" s="1583"/>
      <c r="Q104" s="1583"/>
      <c r="R104" s="1583"/>
      <c r="S104" s="1469"/>
      <c r="T104" s="1469"/>
      <c r="U104" s="1469"/>
      <c r="V104" s="1469"/>
      <c r="W104" s="1469"/>
      <c r="X104" s="1469"/>
      <c r="Y104" s="1626"/>
      <c r="Z104" s="1472"/>
      <c r="AA104" s="1475"/>
      <c r="AB104" s="1472"/>
      <c r="AC104" s="1472"/>
      <c r="AD104" s="1472"/>
    </row>
    <row customHeight="1" ht="9">
      <c r="A105" s="1471"/>
      <c r="B105" s="1471"/>
      <c r="C105" s="1469"/>
      <c r="D105" s="1469"/>
      <c r="E105" s="1469"/>
      <c r="F105" s="1469"/>
      <c r="G105" s="1469"/>
      <c r="H105" s="1517"/>
      <c r="I105" s="1517"/>
      <c r="J105" s="1517"/>
      <c r="K105" s="1517"/>
      <c r="L105" s="1517"/>
      <c r="M105" s="1469"/>
      <c r="N105" s="1516"/>
      <c r="O105" s="1583"/>
      <c r="P105" s="1583"/>
      <c r="Q105" s="1583"/>
      <c r="R105" s="1583"/>
      <c r="S105" s="1469"/>
      <c r="T105" s="1469"/>
      <c r="U105" s="1469"/>
      <c r="V105" s="1469"/>
      <c r="W105" s="1469"/>
      <c r="X105" s="1469"/>
      <c r="Y105" s="1626"/>
      <c r="Z105" s="1472"/>
      <c r="AA105" s="1475"/>
      <c r="AB105" s="1472"/>
      <c r="AC105" s="1472"/>
      <c r="AD105" s="1472"/>
    </row>
    <row customHeight="1" ht="9">
      <c r="A106" s="1471"/>
      <c r="B106" s="1471"/>
      <c r="C106" s="1469"/>
      <c r="D106" s="1469"/>
      <c r="E106" s="1469"/>
      <c r="F106" s="1469"/>
      <c r="G106" s="1469"/>
      <c r="H106" s="1517"/>
      <c r="I106" s="1517"/>
      <c r="J106" s="1517"/>
      <c r="K106" s="1517"/>
      <c r="L106" s="1517"/>
      <c r="M106" s="1469"/>
      <c r="N106" s="1516"/>
      <c r="O106" s="1583"/>
      <c r="P106" s="1583"/>
      <c r="Q106" s="1583"/>
      <c r="R106" s="1583"/>
      <c r="S106" s="1469"/>
      <c r="T106" s="1469"/>
      <c r="U106" s="1469"/>
      <c r="V106" s="1469"/>
      <c r="W106" s="1469"/>
      <c r="X106" s="1469"/>
      <c r="Y106" s="1626"/>
      <c r="Z106" s="1472"/>
      <c r="AA106" s="1475"/>
      <c r="AB106" s="1472"/>
      <c r="AC106" s="1472"/>
      <c r="AD106" s="1472"/>
    </row>
    <row customHeight="1" ht="9">
      <c r="A107" s="1471"/>
      <c r="B107" s="1471"/>
      <c r="C107" s="1469"/>
      <c r="D107" s="1469"/>
      <c r="E107" s="1469"/>
      <c r="F107" s="1469"/>
      <c r="G107" s="1469"/>
      <c r="H107" s="1517"/>
      <c r="I107" s="1517"/>
      <c r="J107" s="1517"/>
      <c r="K107" s="1517"/>
      <c r="L107" s="1517"/>
      <c r="M107" s="1469"/>
      <c r="N107" s="1516"/>
      <c r="O107" s="1583"/>
      <c r="P107" s="1583"/>
      <c r="Q107" s="1583"/>
      <c r="R107" s="1583"/>
      <c r="S107" s="1469"/>
      <c r="T107" s="1469"/>
      <c r="U107" s="1469"/>
      <c r="V107" s="1469"/>
      <c r="W107" s="1469"/>
      <c r="X107" s="1469"/>
      <c r="Y107" s="1626"/>
      <c r="Z107" s="1472"/>
      <c r="AA107" s="1475"/>
      <c r="AB107" s="1472"/>
      <c r="AC107" s="1472"/>
      <c r="AD107" s="1472"/>
    </row>
    <row customHeight="1" ht="9">
      <c r="A108" s="1471"/>
      <c r="B108" s="1471"/>
      <c r="C108" s="1469"/>
      <c r="D108" s="1469"/>
      <c r="E108" s="1469"/>
      <c r="F108" s="1469"/>
      <c r="G108" s="1469"/>
      <c r="H108" s="1517"/>
      <c r="I108" s="1517"/>
      <c r="J108" s="1517"/>
      <c r="K108" s="1517"/>
      <c r="L108" s="1517"/>
      <c r="M108" s="1469"/>
      <c r="N108" s="1516"/>
      <c r="O108" s="1583"/>
      <c r="P108" s="1583"/>
      <c r="Q108" s="1583"/>
      <c r="R108" s="1583"/>
      <c r="S108" s="1469"/>
      <c r="T108" s="1469"/>
      <c r="U108" s="1469"/>
      <c r="V108" s="1469"/>
      <c r="W108" s="1469"/>
      <c r="X108" s="1469"/>
      <c r="Y108" s="1626"/>
      <c r="Z108" s="1472"/>
      <c r="AA108" s="1475"/>
      <c r="AB108" s="1472"/>
      <c r="AC108" s="1472"/>
      <c r="AD108" s="1472"/>
    </row>
    <row customHeight="1" ht="9">
      <c r="A109" s="1471"/>
      <c r="B109" s="1471"/>
      <c r="C109" s="1469"/>
      <c r="D109" s="1469"/>
      <c r="E109" s="1469"/>
      <c r="F109" s="1469"/>
      <c r="G109" s="1469"/>
      <c r="H109" s="1517"/>
      <c r="I109" s="1517"/>
      <c r="J109" s="1517"/>
      <c r="K109" s="1517"/>
      <c r="L109" s="1517"/>
      <c r="M109" s="1469"/>
      <c r="N109" s="1516"/>
      <c r="O109" s="1583"/>
      <c r="P109" s="1583"/>
      <c r="Q109" s="1583"/>
      <c r="R109" s="1583"/>
      <c r="S109" s="1469"/>
      <c r="T109" s="1469"/>
      <c r="U109" s="1469"/>
      <c r="V109" s="1469"/>
      <c r="W109" s="1469"/>
      <c r="X109" s="1469"/>
      <c r="Y109" s="1626"/>
      <c r="Z109" s="1472"/>
      <c r="AA109" s="1475"/>
      <c r="AB109" s="1472"/>
      <c r="AC109" s="1472"/>
      <c r="AD109" s="1472"/>
    </row>
    <row customHeight="1" ht="9">
      <c r="A110" s="1471"/>
      <c r="B110" s="1471"/>
      <c r="C110" s="1469"/>
      <c r="D110" s="1469"/>
      <c r="E110" s="1469"/>
      <c r="F110" s="1469"/>
      <c r="G110" s="1469"/>
      <c r="H110" s="1517"/>
      <c r="I110" s="1517"/>
      <c r="J110" s="1517"/>
      <c r="K110" s="1517"/>
      <c r="L110" s="1517"/>
      <c r="M110" s="1469"/>
      <c r="N110" s="1516"/>
      <c r="O110" s="1583"/>
      <c r="P110" s="1583"/>
      <c r="Q110" s="1583"/>
      <c r="R110" s="1583"/>
      <c r="S110" s="1469"/>
      <c r="T110" s="1469"/>
      <c r="U110" s="1469"/>
      <c r="V110" s="1469"/>
      <c r="W110" s="1469"/>
      <c r="X110" s="1469"/>
      <c r="Y110" s="1626"/>
      <c r="Z110" s="1472"/>
      <c r="AA110" s="1475"/>
      <c r="AB110" s="1472"/>
      <c r="AC110" s="1472"/>
      <c r="AD110" s="1472"/>
    </row>
    <row customHeight="1" ht="9">
      <c r="A111" s="1471"/>
      <c r="B111" s="1471"/>
      <c r="C111" s="1469"/>
      <c r="D111" s="1469"/>
      <c r="E111" s="1469"/>
      <c r="F111" s="1469"/>
      <c r="G111" s="1469"/>
      <c r="H111" s="1517"/>
      <c r="I111" s="1517"/>
      <c r="J111" s="1517"/>
      <c r="K111" s="1517"/>
      <c r="L111" s="1517"/>
      <c r="M111" s="1469"/>
      <c r="N111" s="1516"/>
      <c r="O111" s="1583"/>
      <c r="P111" s="1583"/>
      <c r="Q111" s="1583"/>
      <c r="R111" s="1583"/>
      <c r="S111" s="1469"/>
      <c r="T111" s="1469"/>
      <c r="U111" s="1469"/>
      <c r="V111" s="1469"/>
      <c r="W111" s="1469"/>
      <c r="X111" s="1469"/>
      <c r="Y111" s="1626"/>
      <c r="Z111" s="1472"/>
      <c r="AA111" s="1475"/>
      <c r="AB111" s="1472"/>
      <c r="AC111" s="1472"/>
      <c r="AD111" s="1472"/>
    </row>
    <row customHeight="1" ht="9">
      <c r="A112" s="1471"/>
      <c r="B112" s="1471"/>
      <c r="C112" s="1469"/>
      <c r="D112" s="1469"/>
      <c r="E112" s="1469"/>
      <c r="F112" s="1469"/>
      <c r="G112" s="1469"/>
      <c r="H112" s="1517"/>
      <c r="I112" s="1517"/>
      <c r="J112" s="1517"/>
      <c r="K112" s="1517"/>
      <c r="L112" s="1517"/>
      <c r="M112" s="1469"/>
      <c r="N112" s="1516"/>
      <c r="O112" s="1583"/>
      <c r="P112" s="1583"/>
      <c r="Q112" s="1583"/>
      <c r="R112" s="1583"/>
      <c r="S112" s="1469"/>
      <c r="T112" s="1469"/>
      <c r="U112" s="1469"/>
      <c r="V112" s="1469"/>
      <c r="W112" s="1469"/>
      <c r="X112" s="1469"/>
      <c r="Y112" s="1626"/>
      <c r="Z112" s="1472"/>
      <c r="AA112" s="1475"/>
      <c r="AB112" s="1472"/>
      <c r="AC112" s="1472"/>
      <c r="AD112" s="1472"/>
    </row>
    <row customHeight="1" ht="9">
      <c r="A113" s="1471"/>
      <c r="B113" s="1471"/>
      <c r="C113" s="1469"/>
      <c r="D113" s="1469"/>
      <c r="E113" s="1469"/>
      <c r="F113" s="1469"/>
      <c r="G113" s="1469"/>
      <c r="H113" s="1517"/>
      <c r="I113" s="1517"/>
      <c r="J113" s="1517"/>
      <c r="K113" s="1517"/>
      <c r="L113" s="1517"/>
      <c r="M113" s="1469"/>
      <c r="N113" s="1516"/>
      <c r="O113" s="1583"/>
      <c r="P113" s="1583"/>
      <c r="Q113" s="1583"/>
      <c r="R113" s="1583"/>
      <c r="S113" s="1469"/>
      <c r="T113" s="1469"/>
      <c r="U113" s="1469"/>
      <c r="V113" s="1469"/>
      <c r="W113" s="1469"/>
      <c r="X113" s="1469"/>
      <c r="Y113" s="1626"/>
      <c r="Z113" s="1472"/>
      <c r="AA113" s="1475"/>
      <c r="AB113" s="1472"/>
      <c r="AC113" s="1472"/>
      <c r="AD113" s="1472"/>
    </row>
    <row customHeight="1" ht="9">
      <c r="A114" s="1471"/>
      <c r="B114" s="1471"/>
      <c r="C114" s="1469"/>
      <c r="D114" s="1469"/>
      <c r="E114" s="1469"/>
      <c r="F114" s="1469"/>
      <c r="G114" s="1469"/>
      <c r="H114" s="1517"/>
      <c r="I114" s="1517"/>
      <c r="J114" s="1517"/>
      <c r="K114" s="1517"/>
      <c r="L114" s="1517"/>
      <c r="M114" s="1469"/>
      <c r="N114" s="1516"/>
      <c r="O114" s="1583"/>
      <c r="P114" s="1583"/>
      <c r="Q114" s="1583"/>
      <c r="R114" s="1583"/>
      <c r="S114" s="1469"/>
      <c r="T114" s="1469"/>
      <c r="U114" s="1469"/>
      <c r="V114" s="1469"/>
      <c r="W114" s="1469"/>
      <c r="X114" s="1469"/>
      <c r="Y114" s="1626"/>
      <c r="Z114" s="1472"/>
      <c r="AA114" s="1475"/>
      <c r="AB114" s="1472"/>
      <c r="AC114" s="1472"/>
      <c r="AD114" s="1472"/>
    </row>
    <row customHeight="1" ht="9">
      <c r="A115" s="1471"/>
      <c r="B115" s="1471"/>
      <c r="C115" s="1469"/>
      <c r="D115" s="1469"/>
      <c r="E115" s="1469"/>
      <c r="F115" s="1469"/>
      <c r="G115" s="1469"/>
      <c r="H115" s="1517"/>
      <c r="I115" s="1517"/>
      <c r="J115" s="1517"/>
      <c r="K115" s="1517"/>
      <c r="L115" s="1517"/>
      <c r="M115" s="1469"/>
      <c r="N115" s="1516"/>
      <c r="O115" s="1583"/>
      <c r="P115" s="1583"/>
      <c r="Q115" s="1583"/>
      <c r="R115" s="1583"/>
      <c r="S115" s="1469"/>
      <c r="T115" s="1469"/>
      <c r="U115" s="1469"/>
      <c r="V115" s="1469"/>
      <c r="W115" s="1469"/>
      <c r="X115" s="1469"/>
      <c r="Y115" s="1626"/>
      <c r="Z115" s="1472"/>
      <c r="AA115" s="1475"/>
      <c r="AB115" s="1472"/>
      <c r="AC115" s="1472"/>
      <c r="AD115" s="1472"/>
    </row>
    <row customHeight="1" ht="9">
      <c r="A116" s="1471"/>
      <c r="B116" s="1471"/>
      <c r="C116" s="1469"/>
      <c r="D116" s="1469"/>
      <c r="E116" s="1469"/>
      <c r="F116" s="1469"/>
      <c r="G116" s="1469"/>
      <c r="H116" s="1517"/>
      <c r="I116" s="1517"/>
      <c r="J116" s="1517"/>
      <c r="K116" s="1517"/>
      <c r="L116" s="1517"/>
      <c r="M116" s="1469"/>
      <c r="N116" s="1516"/>
      <c r="O116" s="1583"/>
      <c r="P116" s="1583"/>
      <c r="Q116" s="1583"/>
      <c r="R116" s="1583"/>
      <c r="S116" s="1469"/>
      <c r="T116" s="1469"/>
      <c r="U116" s="1469"/>
      <c r="V116" s="1469"/>
      <c r="W116" s="1469"/>
      <c r="X116" s="1469"/>
      <c r="Y116" s="1626"/>
      <c r="Z116" s="1472"/>
      <c r="AA116" s="1475"/>
      <c r="AB116" s="1472"/>
      <c r="AC116" s="1472"/>
      <c r="AD116" s="1472"/>
    </row>
    <row customHeight="1" ht="9">
      <c r="A117" s="1471"/>
      <c r="B117" s="1471"/>
      <c r="C117" s="1469"/>
      <c r="D117" s="1469"/>
      <c r="E117" s="1469"/>
      <c r="F117" s="1469"/>
      <c r="G117" s="1469"/>
      <c r="H117" s="1517"/>
      <c r="I117" s="1517"/>
      <c r="J117" s="1517"/>
      <c r="K117" s="1517"/>
      <c r="L117" s="1517"/>
      <c r="M117" s="1469"/>
      <c r="N117" s="1516"/>
      <c r="O117" s="1583"/>
      <c r="P117" s="1583"/>
      <c r="Q117" s="1583"/>
      <c r="R117" s="1583"/>
      <c r="S117" s="1469"/>
      <c r="T117" s="1469"/>
      <c r="U117" s="1469"/>
      <c r="V117" s="1469"/>
      <c r="W117" s="1469"/>
      <c r="X117" s="1469"/>
      <c r="Y117" s="1626"/>
      <c r="Z117" s="1472"/>
      <c r="AA117" s="1475"/>
      <c r="AB117" s="1472"/>
      <c r="AC117" s="1472"/>
      <c r="AD117" s="1472"/>
    </row>
    <row customHeight="1" ht="9">
      <c r="A118" s="1471"/>
      <c r="B118" s="1471"/>
      <c r="C118" s="1469"/>
      <c r="D118" s="1469"/>
      <c r="E118" s="1469"/>
      <c r="F118" s="1469"/>
      <c r="G118" s="1469"/>
      <c r="H118" s="1517"/>
      <c r="I118" s="1517"/>
      <c r="J118" s="1517"/>
      <c r="K118" s="1517"/>
      <c r="L118" s="1517"/>
      <c r="M118" s="1469"/>
      <c r="N118" s="1516"/>
      <c r="O118" s="1583"/>
      <c r="P118" s="1583"/>
      <c r="Q118" s="1583"/>
      <c r="R118" s="1583"/>
      <c r="S118" s="1469"/>
      <c r="T118" s="1469"/>
      <c r="U118" s="1469"/>
      <c r="V118" s="1469"/>
      <c r="W118" s="1469"/>
      <c r="X118" s="1469"/>
      <c r="Y118" s="1626"/>
      <c r="Z118" s="1472"/>
      <c r="AA118" s="1475"/>
      <c r="AB118" s="1472"/>
      <c r="AC118" s="1472"/>
      <c r="AD118" s="1472"/>
    </row>
    <row customHeight="1" ht="9">
      <c r="A119" s="1471"/>
      <c r="B119" s="1471"/>
      <c r="C119" s="1469"/>
      <c r="D119" s="1469"/>
      <c r="E119" s="1469"/>
      <c r="F119" s="1469"/>
      <c r="G119" s="1469"/>
      <c r="H119" s="1517"/>
      <c r="I119" s="1517"/>
      <c r="J119" s="1517"/>
      <c r="K119" s="1517"/>
      <c r="L119" s="1517"/>
      <c r="M119" s="1469"/>
      <c r="N119" s="1516"/>
      <c r="O119" s="1583"/>
      <c r="P119" s="1583"/>
      <c r="Q119" s="1583"/>
      <c r="R119" s="1583"/>
      <c r="S119" s="1469"/>
      <c r="T119" s="1469"/>
      <c r="U119" s="1469"/>
      <c r="V119" s="1469"/>
      <c r="W119" s="1469"/>
      <c r="X119" s="1469"/>
      <c r="Y119" s="1626"/>
      <c r="Z119" s="1472"/>
      <c r="AA119" s="1475"/>
      <c r="AB119" s="1472"/>
      <c r="AC119" s="1472"/>
      <c r="AD119" s="1472"/>
    </row>
    <row customHeight="1" ht="9">
      <c r="A120" s="1471"/>
      <c r="B120" s="1471"/>
      <c r="C120" s="1469"/>
      <c r="D120" s="1469"/>
      <c r="E120" s="1469"/>
      <c r="F120" s="1469"/>
      <c r="G120" s="1469"/>
      <c r="H120" s="1517"/>
      <c r="I120" s="1517"/>
      <c r="J120" s="1517"/>
      <c r="K120" s="1517"/>
      <c r="L120" s="1517"/>
      <c r="M120" s="1469"/>
      <c r="N120" s="1516"/>
      <c r="O120" s="1583"/>
      <c r="P120" s="1583"/>
      <c r="Q120" s="1583"/>
      <c r="R120" s="1583"/>
      <c r="S120" s="1469"/>
      <c r="T120" s="1469"/>
      <c r="U120" s="1469"/>
      <c r="V120" s="1469"/>
      <c r="W120" s="1469"/>
      <c r="X120" s="1469"/>
      <c r="Y120" s="1626"/>
      <c r="Z120" s="1472"/>
      <c r="AA120" s="1475"/>
      <c r="AB120" s="1472"/>
      <c r="AC120" s="1472"/>
      <c r="AD120" s="1472"/>
    </row>
    <row customHeight="1" ht="9">
      <c r="A121" s="1471"/>
      <c r="B121" s="1471"/>
      <c r="C121" s="1469"/>
      <c r="D121" s="1469"/>
      <c r="E121" s="1469"/>
      <c r="F121" s="1469"/>
      <c r="G121" s="1469"/>
      <c r="H121" s="1517"/>
      <c r="I121" s="1517"/>
      <c r="J121" s="1517"/>
      <c r="K121" s="1517"/>
      <c r="L121" s="1517"/>
      <c r="M121" s="1469"/>
      <c r="N121" s="1516"/>
      <c r="O121" s="1583"/>
      <c r="P121" s="1583"/>
      <c r="Q121" s="1583"/>
      <c r="R121" s="1583"/>
      <c r="S121" s="1469"/>
      <c r="T121" s="1469"/>
      <c r="U121" s="1469"/>
      <c r="V121" s="1469"/>
      <c r="W121" s="1469"/>
      <c r="X121" s="1469"/>
      <c r="Y121" s="1626"/>
      <c r="Z121" s="1472"/>
      <c r="AA121" s="1475"/>
      <c r="AB121" s="1472"/>
      <c r="AC121" s="1472"/>
      <c r="AD121" s="1472"/>
    </row>
    <row customHeight="1" ht="9">
      <c r="A122" s="1471"/>
      <c r="B122" s="1471"/>
      <c r="C122" s="1469"/>
      <c r="D122" s="1469"/>
      <c r="E122" s="1469"/>
      <c r="F122" s="1469"/>
      <c r="G122" s="1469"/>
      <c r="H122" s="1517"/>
      <c r="I122" s="1517"/>
      <c r="J122" s="1517"/>
      <c r="K122" s="1517"/>
      <c r="L122" s="1517"/>
      <c r="M122" s="1469"/>
      <c r="N122" s="1516"/>
      <c r="O122" s="1583"/>
      <c r="P122" s="1583"/>
      <c r="Q122" s="1583"/>
      <c r="R122" s="1583"/>
      <c r="S122" s="1469"/>
      <c r="T122" s="1469"/>
      <c r="U122" s="1469"/>
      <c r="V122" s="1469"/>
      <c r="W122" s="1469"/>
      <c r="X122" s="1469"/>
      <c r="Y122" s="1626"/>
      <c r="Z122" s="1472"/>
      <c r="AA122" s="1475"/>
      <c r="AB122" s="1472"/>
      <c r="AC122" s="1472"/>
      <c r="AD122" s="1472"/>
    </row>
    <row customHeight="1" ht="9">
      <c r="A123" s="1471"/>
      <c r="B123" s="1471"/>
      <c r="C123" s="1469"/>
      <c r="D123" s="1469"/>
      <c r="E123" s="1469"/>
      <c r="F123" s="1469"/>
      <c r="G123" s="1469"/>
      <c r="H123" s="1517"/>
      <c r="I123" s="1517"/>
      <c r="J123" s="1517"/>
      <c r="K123" s="1517"/>
      <c r="L123" s="1517"/>
      <c r="M123" s="1469"/>
      <c r="N123" s="1516"/>
      <c r="O123" s="1583"/>
      <c r="P123" s="1583"/>
      <c r="Q123" s="1583"/>
      <c r="R123" s="1583"/>
      <c r="S123" s="1469"/>
      <c r="T123" s="1469"/>
      <c r="U123" s="1469"/>
      <c r="V123" s="1469"/>
      <c r="W123" s="1469"/>
      <c r="X123" s="1469"/>
      <c r="Y123" s="1626"/>
      <c r="Z123" s="1472"/>
      <c r="AA123" s="1475"/>
      <c r="AB123" s="1472"/>
      <c r="AC123" s="1472"/>
      <c r="AD123" s="1472"/>
    </row>
    <row customHeight="1" ht="9">
      <c r="A124" s="1471"/>
      <c r="B124" s="1471"/>
      <c r="C124" s="1469"/>
      <c r="D124" s="1469"/>
      <c r="E124" s="1469"/>
      <c r="F124" s="1469"/>
      <c r="G124" s="1469"/>
      <c r="H124" s="1517"/>
      <c r="I124" s="1517"/>
      <c r="J124" s="1517"/>
      <c r="K124" s="1517"/>
      <c r="L124" s="1517"/>
      <c r="M124" s="1469"/>
      <c r="N124" s="1516"/>
      <c r="O124" s="1583"/>
      <c r="P124" s="1583"/>
      <c r="Q124" s="1583"/>
      <c r="R124" s="1583"/>
      <c r="S124" s="1469"/>
      <c r="T124" s="1469"/>
      <c r="U124" s="1469"/>
      <c r="V124" s="1469"/>
      <c r="W124" s="1469"/>
      <c r="X124" s="1469"/>
      <c r="Y124" s="1626"/>
      <c r="Z124" s="1472"/>
      <c r="AA124" s="1475"/>
      <c r="AB124" s="1472"/>
      <c r="AC124" s="1472"/>
      <c r="AD124" s="1472"/>
    </row>
    <row customHeight="1" ht="9">
      <c r="A125" s="1471"/>
      <c r="B125" s="1471"/>
      <c r="C125" s="1469"/>
      <c r="D125" s="1469"/>
      <c r="E125" s="1469"/>
      <c r="F125" s="1469"/>
      <c r="G125" s="1469"/>
      <c r="H125" s="1517"/>
      <c r="I125" s="1517"/>
      <c r="J125" s="1517"/>
      <c r="K125" s="1517"/>
      <c r="L125" s="1517"/>
      <c r="M125" s="1469"/>
      <c r="N125" s="1516"/>
      <c r="O125" s="1583"/>
      <c r="P125" s="1583"/>
      <c r="Q125" s="1583"/>
      <c r="R125" s="1583"/>
      <c r="S125" s="1469"/>
      <c r="T125" s="1469"/>
      <c r="U125" s="1469"/>
      <c r="V125" s="1469"/>
      <c r="W125" s="1469"/>
      <c r="X125" s="1469"/>
      <c r="Y125" s="1626"/>
      <c r="Z125" s="1472"/>
      <c r="AA125" s="1475"/>
      <c r="AB125" s="1472"/>
      <c r="AC125" s="1472"/>
      <c r="AD125" s="1472"/>
    </row>
    <row customHeight="1" ht="9">
      <c r="A126" s="1471"/>
      <c r="B126" s="1471"/>
      <c r="C126" s="1469"/>
      <c r="D126" s="1469"/>
      <c r="E126" s="1469"/>
      <c r="F126" s="1469"/>
      <c r="G126" s="1469"/>
      <c r="H126" s="1517"/>
      <c r="I126" s="1517"/>
      <c r="J126" s="1517"/>
      <c r="K126" s="1517"/>
      <c r="L126" s="1517"/>
      <c r="M126" s="1469"/>
      <c r="N126" s="1516"/>
      <c r="O126" s="1583"/>
      <c r="P126" s="1583"/>
      <c r="Q126" s="1583"/>
      <c r="R126" s="1583"/>
      <c r="S126" s="1469"/>
      <c r="T126" s="1469"/>
      <c r="U126" s="1469"/>
      <c r="V126" s="1469"/>
      <c r="W126" s="1469"/>
      <c r="X126" s="1469"/>
      <c r="Y126" s="1626"/>
      <c r="Z126" s="1472"/>
      <c r="AA126" s="1475"/>
      <c r="AB126" s="1472"/>
      <c r="AC126" s="1472"/>
      <c r="AD126" s="1472"/>
    </row>
    <row customHeight="1" ht="9">
      <c r="A127" s="1471"/>
      <c r="B127" s="1471"/>
      <c r="C127" s="1469"/>
      <c r="D127" s="1469"/>
      <c r="E127" s="1469"/>
      <c r="F127" s="1469"/>
      <c r="G127" s="1469"/>
      <c r="H127" s="1517"/>
      <c r="I127" s="1517"/>
      <c r="J127" s="1517"/>
      <c r="K127" s="1517"/>
      <c r="L127" s="1517"/>
      <c r="M127" s="1469"/>
      <c r="N127" s="1516"/>
      <c r="O127" s="1583"/>
      <c r="P127" s="1583"/>
      <c r="Q127" s="1583"/>
      <c r="R127" s="1583"/>
      <c r="S127" s="1469"/>
      <c r="T127" s="1469"/>
      <c r="U127" s="1469"/>
      <c r="V127" s="1469"/>
      <c r="W127" s="1469"/>
      <c r="X127" s="1469"/>
      <c r="Y127" s="1626"/>
      <c r="Z127" s="1472"/>
      <c r="AA127" s="1475"/>
      <c r="AB127" s="1472"/>
      <c r="AC127" s="1472"/>
      <c r="AD127" s="1472"/>
    </row>
    <row customHeight="1" ht="9">
      <c r="A128" s="1471"/>
      <c r="B128" s="1471"/>
      <c r="C128" s="1469"/>
      <c r="D128" s="1469"/>
      <c r="E128" s="1469"/>
      <c r="F128" s="1469"/>
      <c r="G128" s="1469"/>
      <c r="H128" s="1517"/>
      <c r="I128" s="1517"/>
      <c r="J128" s="1517"/>
      <c r="K128" s="1517"/>
      <c r="L128" s="1517"/>
      <c r="M128" s="1469"/>
      <c r="N128" s="1516"/>
      <c r="O128" s="1583"/>
      <c r="P128" s="1583"/>
      <c r="Q128" s="1583"/>
      <c r="R128" s="1583"/>
      <c r="S128" s="1469"/>
      <c r="T128" s="1469"/>
      <c r="U128" s="1469"/>
      <c r="V128" s="1469"/>
      <c r="W128" s="1469"/>
      <c r="X128" s="1469"/>
      <c r="Y128" s="1626"/>
      <c r="Z128" s="1472"/>
      <c r="AA128" s="1475"/>
      <c r="AB128" s="1472"/>
      <c r="AC128" s="1472"/>
      <c r="AD128" s="1472"/>
    </row>
    <row customHeight="1" ht="9">
      <c r="A129" s="1471"/>
      <c r="B129" s="1471"/>
      <c r="C129" s="1469"/>
      <c r="D129" s="1469"/>
      <c r="E129" s="1469"/>
      <c r="F129" s="1469"/>
      <c r="G129" s="1469"/>
      <c r="H129" s="1517"/>
      <c r="I129" s="1517"/>
      <c r="J129" s="1517"/>
      <c r="K129" s="1517"/>
      <c r="L129" s="1517"/>
      <c r="M129" s="1469"/>
      <c r="N129" s="1516"/>
      <c r="O129" s="1583"/>
      <c r="P129" s="1583"/>
      <c r="Q129" s="1583"/>
      <c r="R129" s="1583"/>
      <c r="S129" s="1469"/>
      <c r="T129" s="1469"/>
      <c r="U129" s="1469"/>
      <c r="V129" s="1469"/>
      <c r="W129" s="1469"/>
      <c r="X129" s="1469"/>
      <c r="Y129" s="1626"/>
      <c r="Z129" s="1472"/>
      <c r="AA129" s="1475"/>
      <c r="AB129" s="1472"/>
      <c r="AC129" s="1472"/>
      <c r="AD129" s="1472"/>
    </row>
    <row customHeight="1" ht="9">
      <c r="A130" s="1471"/>
      <c r="B130" s="1471"/>
      <c r="C130" s="1469"/>
      <c r="D130" s="1469"/>
      <c r="E130" s="1469"/>
      <c r="F130" s="1469"/>
      <c r="G130" s="1469"/>
      <c r="H130" s="1517"/>
      <c r="I130" s="1517"/>
      <c r="J130" s="1517"/>
      <c r="K130" s="1517"/>
      <c r="L130" s="1517"/>
      <c r="M130" s="1469"/>
      <c r="N130" s="1516"/>
      <c r="O130" s="1585"/>
      <c r="P130" s="1585"/>
      <c r="Q130" s="1585"/>
      <c r="R130" s="1585"/>
      <c r="S130" s="1469"/>
      <c r="T130" s="1469"/>
      <c r="U130" s="1469"/>
      <c r="V130" s="1469"/>
      <c r="W130" s="1469"/>
      <c r="X130" s="1469"/>
      <c r="Y130" s="1626"/>
      <c r="Z130" s="1472"/>
      <c r="AA130" s="1475"/>
      <c r="AB130" s="1472"/>
      <c r="AC130" s="1472"/>
      <c r="AD130" s="1472"/>
    </row>
    <row customHeight="1" ht="9">
      <c r="A131" s="1471"/>
      <c r="B131" s="1471"/>
      <c r="C131" s="1469"/>
      <c r="D131" s="1469"/>
      <c r="E131" s="1469"/>
      <c r="F131" s="1469"/>
      <c r="G131" s="1469"/>
      <c r="H131" s="1517"/>
      <c r="I131" s="1517"/>
      <c r="J131" s="1517"/>
      <c r="K131" s="1517"/>
      <c r="L131" s="1517"/>
      <c r="M131" s="1469"/>
      <c r="N131" s="1516"/>
      <c r="O131" s="1586"/>
      <c r="P131" s="1586"/>
      <c r="Q131" s="1586"/>
      <c r="R131" s="1586"/>
      <c r="S131" s="1469"/>
      <c r="T131" s="1469"/>
      <c r="U131" s="1469"/>
      <c r="V131" s="1469"/>
      <c r="W131" s="1469"/>
      <c r="X131" s="1469"/>
      <c r="Y131" s="1626"/>
      <c r="Z131" s="1472"/>
      <c r="AA131" s="1475"/>
      <c r="AB131" s="1472"/>
      <c r="AC131" s="1472"/>
      <c r="AD131" s="1472"/>
    </row>
    <row customHeight="1" ht="9">
      <c r="A132" s="1471"/>
      <c r="B132" s="1471"/>
      <c r="C132" s="1469"/>
      <c r="D132" s="1469"/>
      <c r="E132" s="1469"/>
      <c r="F132" s="1469"/>
      <c r="G132" s="1469"/>
      <c r="H132" s="1517"/>
      <c r="I132" s="1517"/>
      <c r="J132" s="1517"/>
      <c r="K132" s="1517"/>
      <c r="L132" s="1517"/>
      <c r="M132" s="1469"/>
      <c r="N132" s="1516"/>
      <c r="O132" s="1585"/>
      <c r="P132" s="1585"/>
      <c r="Q132" s="1585"/>
      <c r="R132" s="1585"/>
      <c r="S132" s="1469"/>
      <c r="T132" s="1469"/>
      <c r="U132" s="1469"/>
      <c r="V132" s="1469"/>
      <c r="W132" s="1469"/>
      <c r="X132" s="1469"/>
      <c r="Y132" s="1626"/>
      <c r="Z132" s="1472"/>
      <c r="AA132" s="1475"/>
      <c r="AB132" s="1472"/>
      <c r="AC132" s="1472"/>
      <c r="AD132" s="1472"/>
    </row>
    <row customHeight="1" ht="9">
      <c r="A133" s="1471"/>
      <c r="B133" s="1471"/>
      <c r="C133" s="1469"/>
      <c r="D133" s="1469"/>
      <c r="E133" s="1469"/>
      <c r="F133" s="1469"/>
      <c r="G133" s="1469"/>
      <c r="H133" s="1517"/>
      <c r="I133" s="1517"/>
      <c r="J133" s="1517"/>
      <c r="K133" s="1517"/>
      <c r="L133" s="1517"/>
      <c r="M133" s="1469"/>
      <c r="N133" s="1516"/>
      <c r="O133" s="1586"/>
      <c r="P133" s="1586"/>
      <c r="Q133" s="1586"/>
      <c r="R133" s="1586"/>
      <c r="S133" s="1469"/>
      <c r="T133" s="1469"/>
      <c r="U133" s="1469"/>
      <c r="V133" s="1469"/>
      <c r="W133" s="1469"/>
      <c r="X133" s="1469"/>
      <c r="Y133" s="1626"/>
      <c r="Z133" s="1472"/>
      <c r="AA133" s="1475"/>
      <c r="AB133" s="1472"/>
      <c r="AC133" s="1472"/>
      <c r="AD133" s="1472"/>
    </row>
    <row customHeight="1" ht="9">
      <c r="A134" s="1471"/>
      <c r="B134" s="1471"/>
      <c r="C134" s="1469"/>
      <c r="D134" s="1469"/>
      <c r="E134" s="1469"/>
      <c r="F134" s="1469"/>
      <c r="G134" s="1469"/>
      <c r="H134" s="1517"/>
      <c r="I134" s="1517"/>
      <c r="J134" s="1517"/>
      <c r="K134" s="1517"/>
      <c r="L134" s="1517"/>
      <c r="M134" s="1469"/>
      <c r="N134" s="1516"/>
      <c r="O134" s="1583"/>
      <c r="P134" s="1583"/>
      <c r="Q134" s="1583"/>
      <c r="R134" s="1583"/>
      <c r="S134" s="1469"/>
      <c r="T134" s="1469"/>
      <c r="U134" s="1469"/>
      <c r="V134" s="1469"/>
      <c r="W134" s="1469"/>
      <c r="X134" s="1469"/>
      <c r="Y134" s="1626"/>
      <c r="Z134" s="1472"/>
      <c r="AA134" s="1475"/>
      <c r="AB134" s="1472"/>
      <c r="AC134" s="1472"/>
      <c r="AD134" s="1472"/>
    </row>
    <row customHeight="1" ht="9">
      <c r="A135" s="1471"/>
      <c r="B135" s="1471"/>
      <c r="C135" s="1469"/>
      <c r="D135" s="1469"/>
      <c r="E135" s="1469"/>
      <c r="F135" s="1469"/>
      <c r="G135" s="1469"/>
      <c r="H135" s="1517"/>
      <c r="I135" s="1517"/>
      <c r="J135" s="1517"/>
      <c r="K135" s="1517"/>
      <c r="L135" s="1517"/>
      <c r="M135" s="1469"/>
      <c r="N135" s="1516"/>
      <c r="O135" s="1583"/>
      <c r="P135" s="1583"/>
      <c r="Q135" s="1583"/>
      <c r="R135" s="1583"/>
      <c r="S135" s="1469"/>
      <c r="T135" s="1469"/>
      <c r="U135" s="1469"/>
      <c r="V135" s="1469"/>
      <c r="W135" s="1469"/>
      <c r="X135" s="1469"/>
      <c r="Y135" s="1626"/>
      <c r="Z135" s="1472"/>
      <c r="AA135" s="1475"/>
      <c r="AB135" s="1472"/>
      <c r="AC135" s="1472"/>
      <c r="AD135" s="1472"/>
    </row>
    <row customHeight="1" ht="9">
      <c r="A136" s="1471"/>
      <c r="B136" s="1471"/>
      <c r="C136" s="1469"/>
      <c r="D136" s="1469"/>
      <c r="E136" s="1469"/>
      <c r="F136" s="1469"/>
      <c r="G136" s="1469"/>
      <c r="H136" s="1517"/>
      <c r="I136" s="1517"/>
      <c r="J136" s="1517"/>
      <c r="K136" s="1517"/>
      <c r="L136" s="1517"/>
      <c r="M136" s="1469"/>
      <c r="N136" s="1516"/>
      <c r="O136" s="1583"/>
      <c r="P136" s="1583"/>
      <c r="Q136" s="1583"/>
      <c r="R136" s="1583"/>
      <c r="S136" s="1469"/>
      <c r="T136" s="1469"/>
      <c r="U136" s="1469"/>
      <c r="V136" s="1469"/>
      <c r="W136" s="1469"/>
      <c r="X136" s="1469"/>
      <c r="Y136" s="1626"/>
      <c r="Z136" s="1472"/>
      <c r="AA136" s="1475"/>
      <c r="AB136" s="1472"/>
      <c r="AC136" s="1472"/>
      <c r="AD136" s="1472"/>
    </row>
    <row customHeight="1" ht="9">
      <c r="A137" s="1471"/>
      <c r="B137" s="1471"/>
      <c r="C137" s="1469"/>
      <c r="D137" s="1469"/>
      <c r="E137" s="1469"/>
      <c r="F137" s="1469"/>
      <c r="G137" s="1469"/>
      <c r="H137" s="1517"/>
      <c r="I137" s="1517"/>
      <c r="J137" s="1517"/>
      <c r="K137" s="1517"/>
      <c r="L137" s="1517"/>
      <c r="M137" s="1469"/>
      <c r="N137" s="1516"/>
      <c r="O137" s="1587"/>
      <c r="P137" s="1587"/>
      <c r="Q137" s="1587"/>
      <c r="R137" s="1587"/>
      <c r="S137" s="1469"/>
      <c r="T137" s="1469"/>
      <c r="U137" s="1469"/>
      <c r="V137" s="1469"/>
      <c r="W137" s="1469"/>
      <c r="X137" s="1469"/>
      <c r="Y137" s="1626"/>
      <c r="Z137" s="1472"/>
      <c r="AA137" s="1475"/>
      <c r="AB137" s="1472"/>
      <c r="AC137" s="1472"/>
      <c r="AD137" s="1472"/>
    </row>
    <row customHeight="1" ht="9">
      <c r="A138" s="1471"/>
      <c r="B138" s="1471"/>
      <c r="C138" s="1469"/>
      <c r="D138" s="1469"/>
      <c r="E138" s="1469"/>
      <c r="F138" s="1469"/>
      <c r="G138" s="1469"/>
      <c r="H138" s="1517"/>
      <c r="I138" s="1517"/>
      <c r="J138" s="1517"/>
      <c r="K138" s="1517"/>
      <c r="L138" s="1517"/>
      <c r="M138" s="1469"/>
      <c r="N138" s="1516"/>
      <c r="O138" s="1584"/>
      <c r="P138" s="1584"/>
      <c r="Q138" s="1584"/>
      <c r="R138" s="1584"/>
      <c r="S138" s="1469"/>
      <c r="T138" s="1469"/>
      <c r="U138" s="1469"/>
      <c r="V138" s="1469"/>
      <c r="W138" s="1469"/>
      <c r="X138" s="1469"/>
      <c r="Y138" s="1626"/>
      <c r="Z138" s="1472"/>
      <c r="AA138" s="1475"/>
      <c r="AB138" s="1472"/>
      <c r="AC138" s="1472"/>
      <c r="AD138" s="1472"/>
    </row>
    <row customHeight="1" ht="9">
      <c r="A139" s="1471"/>
      <c r="B139" s="1471"/>
      <c r="C139" s="1469"/>
      <c r="D139" s="1469"/>
      <c r="E139" s="1469"/>
      <c r="F139" s="1469"/>
      <c r="G139" s="1469"/>
      <c r="H139" s="1517"/>
      <c r="I139" s="1517"/>
      <c r="J139" s="1517"/>
      <c r="K139" s="1517"/>
      <c r="L139" s="1517"/>
      <c r="M139" s="1469"/>
      <c r="N139" s="1516"/>
      <c r="O139" s="1469"/>
      <c r="P139" s="1469"/>
      <c r="Q139" s="1469"/>
      <c r="R139" s="1469"/>
      <c r="S139" s="1469"/>
      <c r="T139" s="1469"/>
      <c r="U139" s="1469"/>
      <c r="V139" s="1469"/>
      <c r="W139" s="1469"/>
      <c r="X139" s="1469"/>
      <c r="Y139" s="1626"/>
      <c r="Z139" s="1472"/>
      <c r="AA139" s="1475"/>
      <c r="AB139" s="1472"/>
      <c r="AC139" s="1472"/>
      <c r="AD139" s="1472"/>
    </row>
    <row customHeight="1" ht="9">
      <c r="A140" s="1471"/>
      <c r="B140" s="1471"/>
      <c r="C140" s="1469"/>
      <c r="D140" s="1469"/>
      <c r="E140" s="1469"/>
      <c r="F140" s="1469"/>
      <c r="G140" s="1469"/>
      <c r="H140" s="1517"/>
      <c r="I140" s="1517"/>
      <c r="J140" s="1517"/>
      <c r="K140" s="1517"/>
      <c r="L140" s="1517"/>
      <c r="M140" s="1469"/>
      <c r="N140" s="1516"/>
      <c r="O140" s="1469"/>
      <c r="P140" s="1469"/>
      <c r="Q140" s="1469"/>
      <c r="R140" s="1469"/>
      <c r="S140" s="1469"/>
      <c r="T140" s="1469"/>
      <c r="U140" s="1469"/>
      <c r="V140" s="1469"/>
      <c r="W140" s="1469"/>
      <c r="X140" s="1469"/>
      <c r="Y140" s="1626"/>
      <c r="Z140" s="1472"/>
      <c r="AA140" s="1475"/>
      <c r="AB140" s="1472"/>
      <c r="AC140" s="1472"/>
      <c r="AD140" s="1472"/>
    </row>
    <row customHeight="1" ht="9">
      <c r="A141" s="1471"/>
      <c r="B141" s="1471"/>
      <c r="C141" s="1469"/>
      <c r="D141" s="1469"/>
      <c r="E141" s="1469"/>
      <c r="F141" s="1469"/>
      <c r="G141" s="1469"/>
      <c r="H141" s="1517"/>
      <c r="I141" s="1517"/>
      <c r="J141" s="1517"/>
      <c r="K141" s="1517"/>
      <c r="L141" s="1517"/>
      <c r="M141" s="1469"/>
      <c r="N141" s="1516"/>
      <c r="O141" s="1469"/>
      <c r="P141" s="1469"/>
      <c r="Q141" s="1469"/>
      <c r="R141" s="1469"/>
      <c r="S141" s="1469"/>
      <c r="T141" s="1469"/>
      <c r="U141" s="1469"/>
      <c r="V141" s="1469"/>
      <c r="W141" s="1469"/>
      <c r="X141" s="1469"/>
      <c r="Y141" s="1626"/>
      <c r="Z141" s="1472"/>
      <c r="AA141" s="1475"/>
      <c r="AB141" s="1472"/>
      <c r="AC141" s="1472"/>
      <c r="AD141" s="1472"/>
    </row>
    <row customHeight="1" ht="9">
      <c r="A142" s="1471"/>
      <c r="B142" s="1471"/>
      <c r="C142" s="1469"/>
      <c r="D142" s="1469"/>
      <c r="E142" s="1469"/>
      <c r="F142" s="1469"/>
      <c r="G142" s="1469"/>
      <c r="H142" s="1517"/>
      <c r="I142" s="1517"/>
      <c r="J142" s="1517"/>
      <c r="K142" s="1517"/>
      <c r="L142" s="1517"/>
      <c r="M142" s="1469"/>
      <c r="N142" s="1516"/>
      <c r="O142" s="1469"/>
      <c r="P142" s="1469"/>
      <c r="Q142" s="1469"/>
      <c r="R142" s="1469"/>
      <c r="S142" s="1469"/>
      <c r="T142" s="1469"/>
      <c r="U142" s="1469"/>
      <c r="V142" s="1469"/>
      <c r="W142" s="1469"/>
      <c r="X142" s="1469"/>
      <c r="Y142" s="1626"/>
      <c r="Z142" s="1472"/>
      <c r="AA142" s="1475"/>
      <c r="AB142" s="1472"/>
      <c r="AC142" s="1472"/>
      <c r="AD142" s="1472"/>
    </row>
    <row customHeight="1" ht="9">
      <c r="A143" s="1471"/>
      <c r="B143" s="1471"/>
      <c r="C143" s="1469"/>
      <c r="D143" s="1469"/>
      <c r="E143" s="1469"/>
      <c r="F143" s="1469"/>
      <c r="G143" s="1469"/>
      <c r="H143" s="1517"/>
      <c r="I143" s="1517"/>
      <c r="J143" s="1517"/>
      <c r="K143" s="1517"/>
      <c r="L143" s="1517"/>
      <c r="M143" s="1469"/>
      <c r="N143" s="1516"/>
      <c r="O143" s="1469"/>
      <c r="P143" s="1469"/>
      <c r="Q143" s="1469"/>
      <c r="R143" s="1469"/>
      <c r="S143" s="1469"/>
      <c r="T143" s="1469"/>
      <c r="U143" s="1469"/>
      <c r="V143" s="1469"/>
      <c r="W143" s="1469"/>
      <c r="X143" s="1469"/>
      <c r="Y143" s="1626"/>
      <c r="Z143" s="1472"/>
      <c r="AA143" s="1475"/>
      <c r="AB143" s="1472"/>
      <c r="AC143" s="1472"/>
      <c r="AD143" s="1472"/>
    </row>
    <row customHeight="1" ht="9">
      <c r="A144" s="1471"/>
      <c r="B144" s="1471"/>
      <c r="C144" s="1469"/>
      <c r="D144" s="1469"/>
      <c r="E144" s="1469"/>
      <c r="F144" s="1469"/>
      <c r="G144" s="1469"/>
      <c r="H144" s="1517"/>
      <c r="I144" s="1517"/>
      <c r="J144" s="1517"/>
      <c r="K144" s="1517"/>
      <c r="L144" s="1517"/>
      <c r="M144" s="1469"/>
      <c r="N144" s="1516"/>
      <c r="O144" s="1469"/>
      <c r="P144" s="1469"/>
      <c r="Q144" s="1469"/>
      <c r="R144" s="1469"/>
      <c r="S144" s="1469"/>
      <c r="T144" s="1469"/>
      <c r="U144" s="1469"/>
      <c r="V144" s="1469"/>
      <c r="W144" s="1469"/>
      <c r="X144" s="1469"/>
      <c r="Y144" s="1626"/>
      <c r="Z144" s="1472"/>
      <c r="AA144" s="1475"/>
      <c r="AB144" s="1472"/>
      <c r="AC144" s="1472"/>
      <c r="AD144" s="1472"/>
    </row>
    <row customHeight="1" ht="9">
      <c r="A145" s="1471"/>
      <c r="B145" s="1471"/>
      <c r="C145" s="1469"/>
      <c r="D145" s="1469"/>
      <c r="E145" s="1469"/>
      <c r="F145" s="1469"/>
      <c r="G145" s="1469"/>
      <c r="H145" s="1517"/>
      <c r="I145" s="1517"/>
      <c r="J145" s="1517"/>
      <c r="K145" s="1517"/>
      <c r="L145" s="1517"/>
      <c r="M145" s="1469"/>
      <c r="N145" s="1516"/>
      <c r="O145" s="1469"/>
      <c r="P145" s="1469"/>
      <c r="Q145" s="1469"/>
      <c r="R145" s="1469"/>
      <c r="S145" s="1469"/>
      <c r="T145" s="1469"/>
      <c r="U145" s="1469"/>
      <c r="V145" s="1469"/>
      <c r="W145" s="1469"/>
      <c r="X145" s="1469"/>
      <c r="Y145" s="1626"/>
      <c r="Z145" s="1472"/>
      <c r="AA145" s="1475"/>
      <c r="AB145" s="1472"/>
      <c r="AC145" s="1472"/>
      <c r="AD145" s="1472"/>
    </row>
    <row customHeight="1" ht="9">
      <c r="A146" s="1471"/>
      <c r="B146" s="1471"/>
      <c r="C146" s="1469"/>
      <c r="D146" s="1469"/>
      <c r="E146" s="1469"/>
      <c r="F146" s="1469"/>
      <c r="G146" s="1469"/>
      <c r="H146" s="1517"/>
      <c r="I146" s="1517"/>
      <c r="J146" s="1517"/>
      <c r="K146" s="1517"/>
      <c r="L146" s="1517"/>
      <c r="M146" s="1469"/>
      <c r="N146" s="1516"/>
      <c r="O146" s="1469"/>
      <c r="P146" s="1469"/>
      <c r="Q146" s="1469"/>
      <c r="R146" s="1469"/>
      <c r="S146" s="1469"/>
      <c r="T146" s="1469"/>
      <c r="U146" s="1469"/>
      <c r="V146" s="1469"/>
      <c r="W146" s="1469"/>
      <c r="X146" s="1469"/>
      <c r="Y146" s="1626"/>
      <c r="Z146" s="1472"/>
      <c r="AA146" s="1475"/>
      <c r="AB146" s="1472"/>
      <c r="AC146" s="1472"/>
      <c r="AD146" s="1472"/>
    </row>
    <row customHeight="1" ht="9">
      <c r="A147" s="1471"/>
      <c r="B147" s="1471"/>
      <c r="C147" s="1471"/>
      <c r="D147" s="1471"/>
      <c r="E147" s="1471"/>
      <c r="F147" s="1471"/>
      <c r="G147" s="1471"/>
      <c r="H147" s="1471"/>
      <c r="I147" s="1471"/>
      <c r="J147" s="1471"/>
      <c r="K147" s="1471"/>
      <c r="L147" s="1471"/>
      <c r="M147" s="1471"/>
      <c r="N147" s="1471"/>
      <c r="O147" s="1471"/>
      <c r="P147" s="1471"/>
      <c r="Q147" s="1471"/>
      <c r="R147" s="1471"/>
      <c r="S147" s="1471"/>
      <c r="T147" s="1471"/>
      <c r="U147" s="1471"/>
      <c r="V147" s="1471"/>
      <c r="W147" s="1471"/>
      <c r="X147" s="1471"/>
      <c r="Y147" s="1471"/>
      <c r="Z147" s="1471"/>
      <c r="AA147" s="1471"/>
      <c r="AB147" s="1471"/>
      <c r="AC147" s="1471"/>
      <c r="AD147" s="1471"/>
    </row>
    <row customHeight="1" ht="90">
      <c r="A148" s="1471" t="s">
        <v>1840</v>
      </c>
      <c r="B148" s="1471"/>
      <c r="C148" s="1469" t="s">
        <v>2405</v>
      </c>
      <c r="D148" s="1469" t="s">
        <v>1742</v>
      </c>
      <c r="E148" s="1469" t="s">
        <v>1842</v>
      </c>
      <c r="F148" s="1469" t="s">
        <v>2406</v>
      </c>
      <c r="G148" s="1469"/>
      <c r="H148" s="1469"/>
      <c r="I148" s="1589"/>
      <c r="J148" s="1589"/>
      <c r="K148" s="1589"/>
      <c r="L148" s="1589"/>
      <c r="M148" s="151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474"/>
      <c r="O148" s="1469"/>
      <c r="P148" s="1470"/>
      <c r="Q148" s="1470"/>
      <c r="R148" s="1470"/>
      <c r="S148" s="1469"/>
      <c r="T148" s="1469" t="s">
        <v>2407</v>
      </c>
      <c r="U148" s="14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470"/>
      <c r="W148" s="1470"/>
      <c r="X148" s="1469" t="s">
        <v>2408</v>
      </c>
      <c r="Y148" s="1626"/>
      <c r="Z148" s="1472"/>
      <c r="AA148" s="1475"/>
      <c r="AB148" s="1472"/>
      <c r="AC148" s="1472"/>
      <c r="AD148" s="1472"/>
    </row>
    <row customHeight="1" ht="9">
      <c r="A149" s="1471"/>
      <c r="B149" s="1471"/>
      <c r="C149" s="1471"/>
      <c r="D149" s="1471"/>
      <c r="E149" s="1471"/>
      <c r="F149" s="1471"/>
      <c r="G149" s="1471"/>
      <c r="H149" s="1471"/>
      <c r="I149" s="1471"/>
      <c r="J149" s="1471"/>
      <c r="K149" s="1471"/>
      <c r="L149" s="1471"/>
      <c r="M149" s="1471"/>
      <c r="N149" s="1471"/>
      <c r="O149" s="1471"/>
      <c r="P149" s="1471"/>
      <c r="Q149" s="1471"/>
      <c r="R149" s="1471"/>
      <c r="S149" s="1471"/>
      <c r="T149" s="1471"/>
      <c r="U149" s="1471"/>
      <c r="V149" s="1471"/>
      <c r="W149" s="1471"/>
      <c r="X149" s="1471"/>
      <c r="Y149" s="1471"/>
      <c r="Z149" s="1471"/>
      <c r="AA149" s="1471"/>
      <c r="AB149" s="1471"/>
      <c r="AC149" s="1471"/>
      <c r="AD149" s="1471"/>
    </row>
    <row customHeight="1" ht="9">
      <c r="A150" s="1471" t="s">
        <v>1844</v>
      </c>
      <c r="B150" s="1471"/>
      <c r="C150" s="1469"/>
      <c r="D150" s="1469"/>
      <c r="E150" s="1469"/>
      <c r="F150" s="1469"/>
      <c r="G150" s="1469"/>
      <c r="H150" s="1469"/>
      <c r="I150" s="1469"/>
      <c r="J150" s="1469"/>
      <c r="K150" s="1469"/>
      <c r="L150" s="1469"/>
      <c r="M150" s="1469"/>
      <c r="N150" s="1469"/>
      <c r="O150" s="1469"/>
      <c r="P150" s="1469"/>
      <c r="Q150" s="1469"/>
      <c r="R150" s="1469"/>
      <c r="S150" s="1469"/>
      <c r="T150" s="1469"/>
      <c r="U150" s="1469"/>
      <c r="V150" s="1469"/>
      <c r="W150" s="1469"/>
      <c r="X150" s="1469"/>
      <c r="Y150" s="1626"/>
      <c r="Z150" s="1472"/>
      <c r="AA150" s="1475"/>
      <c r="AB150" s="1472"/>
      <c r="AC150" s="1472"/>
      <c r="AD150" s="1472"/>
    </row>
    <row customHeight="1" ht="9">
      <c r="A151" s="1471"/>
      <c r="B151" s="1471"/>
      <c r="C151" s="1471"/>
      <c r="D151" s="1471"/>
      <c r="E151" s="1471"/>
      <c r="F151" s="1471"/>
      <c r="G151" s="1471"/>
      <c r="H151" s="1471"/>
      <c r="I151" s="1471"/>
      <c r="J151" s="1471"/>
      <c r="K151" s="1471"/>
      <c r="L151" s="1471"/>
      <c r="M151" s="1471"/>
      <c r="N151" s="1471"/>
      <c r="O151" s="1471"/>
      <c r="P151" s="1471"/>
      <c r="Q151" s="1471"/>
      <c r="R151" s="1471"/>
      <c r="S151" s="1471"/>
      <c r="T151" s="1471"/>
      <c r="U151" s="1471"/>
      <c r="V151" s="1471"/>
      <c r="W151" s="1471"/>
      <c r="X151" s="1471"/>
      <c r="Y151" s="1471"/>
      <c r="Z151" s="1471"/>
      <c r="AA151" s="1471"/>
      <c r="AB151" s="1471"/>
      <c r="AC151" s="1471"/>
      <c r="AD151" s="1471"/>
    </row>
    <row customHeight="1" ht="9">
      <c r="A152" s="1471" t="s">
        <v>1847</v>
      </c>
      <c r="B152" s="1471"/>
      <c r="C152" s="1469"/>
      <c r="D152" s="1469"/>
      <c r="E152" s="1469"/>
      <c r="F152" s="1469"/>
      <c r="G152" s="1469"/>
      <c r="H152" s="1469"/>
      <c r="I152" s="1469"/>
      <c r="J152" s="1469"/>
      <c r="K152" s="1469"/>
      <c r="L152" s="1469"/>
      <c r="M152" s="1469"/>
      <c r="N152" s="1469"/>
      <c r="O152" s="1469"/>
      <c r="P152" s="1469"/>
      <c r="Q152" s="1469"/>
      <c r="R152" s="1469"/>
      <c r="S152" s="1469"/>
      <c r="T152" s="1469"/>
      <c r="U152" s="1469"/>
      <c r="V152" s="1469"/>
      <c r="W152" s="1469"/>
      <c r="X152" s="1469"/>
      <c r="Y152" s="1626"/>
      <c r="Z152" s="1472"/>
      <c r="AA152" s="1475"/>
      <c r="AB152" s="1472"/>
      <c r="AC152" s="1472"/>
      <c r="AD152" s="1472"/>
    </row>
    <row customHeight="1" ht="9">
      <c r="A153" s="1471"/>
      <c r="B153" s="1471"/>
      <c r="C153" s="1471"/>
      <c r="D153" s="1471"/>
      <c r="E153" s="1471"/>
      <c r="F153" s="1471"/>
      <c r="G153" s="1471"/>
      <c r="H153" s="1471"/>
      <c r="I153" s="1471"/>
      <c r="J153" s="1471"/>
      <c r="K153" s="1471"/>
      <c r="L153" s="1471"/>
      <c r="M153" s="1471"/>
      <c r="N153" s="1471"/>
      <c r="O153" s="1471"/>
      <c r="P153" s="1471"/>
      <c r="Q153" s="1471"/>
      <c r="R153" s="1471"/>
      <c r="S153" s="1471"/>
      <c r="T153" s="1471"/>
      <c r="U153" s="1471"/>
      <c r="V153" s="1471"/>
      <c r="W153" s="1471"/>
      <c r="X153" s="1471"/>
      <c r="Y153" s="1471"/>
      <c r="Z153" s="1471"/>
      <c r="AA153" s="1471"/>
      <c r="AB153" s="1471"/>
      <c r="AC153" s="1471"/>
      <c r="AD153" s="1471"/>
    </row>
    <row customHeight="1" ht="9">
      <c r="A154" s="1471" t="s">
        <v>1852</v>
      </c>
      <c r="B154" s="1471"/>
      <c r="C154" s="1469"/>
      <c r="D154" s="1469"/>
      <c r="E154" s="1469"/>
      <c r="F154" s="1469"/>
      <c r="G154" s="1469"/>
      <c r="H154" s="1469"/>
      <c r="I154" s="1469"/>
      <c r="J154" s="1469"/>
      <c r="K154" s="1469"/>
      <c r="L154" s="1469"/>
      <c r="M154" s="1469"/>
      <c r="N154" s="1469"/>
      <c r="O154" s="1469"/>
      <c r="P154" s="1469"/>
      <c r="Q154" s="1469"/>
      <c r="R154" s="1469"/>
      <c r="S154" s="1469"/>
      <c r="T154" s="1469"/>
      <c r="U154" s="1469"/>
      <c r="V154" s="1469"/>
      <c r="W154" s="1469"/>
      <c r="X154" s="1469"/>
      <c r="Y154" s="1626"/>
      <c r="Z154" s="1472"/>
      <c r="AA154" s="1475"/>
      <c r="AB154" s="1472"/>
      <c r="AC154" s="1472"/>
      <c r="AD154" s="1472"/>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7CE8D6-8846-1317-7147-4C83B5A2BDE3}"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34657" width="10.57421875" hidden="1"/>
    <col min="2" max="2" style="34657" width="11.00390625" hidden="1" customWidth="1"/>
    <col min="3" max="3" style="34657" width="10.57421875" hidden="1"/>
    <col min="4" max="4" style="34657" width="11.8515625" hidden="1" customWidth="1"/>
    <col min="5" max="5" style="34657" width="12.28125" hidden="1" customWidth="1"/>
    <col min="6" max="8" style="35440" width="12.28125" hidden="1" customWidth="1"/>
    <col min="9" max="9" style="35441" width="3.00390625" customWidth="1"/>
    <col min="10" max="11" style="35442" width="3.00390625" customWidth="1"/>
    <col min="12" max="12" style="35443" width="12.00390625" customWidth="1"/>
    <col min="13" max="13" style="34580" width="31.00390625" customWidth="1"/>
    <col min="14" max="14" style="34580" width="1.00390625" customWidth="1"/>
    <col min="15" max="18" style="34580" width="24.00390625" customWidth="1"/>
    <col min="19" max="19" style="34580" width="11.00390625" customWidth="1"/>
    <col min="20" max="20" style="34580" width="3.7109375" customWidth="1"/>
    <col min="21" max="21" style="34580" width="11.00390625" customWidth="1"/>
    <col min="22" max="22" style="34580" width="8.57421875" customWidth="1"/>
    <col min="23" max="23" style="34580" width="4.00390625" customWidth="1"/>
    <col min="24" max="24" style="34580" width="115.00390625" customWidth="1"/>
    <col min="25" max="29" style="34658" width="10.00390625" customWidth="1"/>
    <col min="30" max="30" style="34580" width="10.57421875" hidden="1"/>
  </cols>
  <sheetData>
    <row customHeight="1" ht="22.5" hidden="1">
      <c r="R1" s="953"/>
      <c r="S1" s="953"/>
      <c r="AD1" s="1781" t="s">
        <v>14</v>
      </c>
    </row>
    <row customHeight="1" ht="14.25" hidden="1">
      <c r="V2" s="953"/>
      <c r="AD2" s="1781">
        <v>0</v>
      </c>
    </row>
    <row customHeight="1" ht="14.25" hidden="1">
      <c r="AD3" s="1781">
        <v>0</v>
      </c>
    </row>
    <row customHeight="1" ht="14.699999999999998">
      <c r="J4" s="1002"/>
      <c r="K4" s="1002"/>
      <c r="L4" s="1901"/>
      <c r="M4" s="989"/>
      <c r="N4" s="989"/>
      <c r="O4" s="1135"/>
      <c r="P4" s="1135"/>
      <c r="Q4" s="1135"/>
      <c r="R4" s="1135"/>
      <c r="S4" s="1135"/>
      <c r="T4" s="1135"/>
      <c r="U4" s="1135"/>
      <c r="V4" s="1135"/>
      <c r="AD4" s="1781">
        <v>14</v>
      </c>
    </row>
    <row customHeight="1" ht="67.2">
      <c r="J5" s="1002"/>
      <c r="K5" s="1002"/>
      <c r="L5" s="3229" t="s">
        <v>2409</v>
      </c>
      <c r="M5" s="3229"/>
      <c r="N5" s="3229"/>
      <c r="O5" s="3229"/>
      <c r="P5" s="3229"/>
      <c r="Q5" s="3229"/>
      <c r="R5" s="3229"/>
      <c r="S5" s="3229"/>
      <c r="T5" s="3229"/>
      <c r="U5" s="3229"/>
      <c r="V5" s="1869"/>
      <c r="AD5" s="1781">
        <v>64</v>
      </c>
    </row>
    <row customHeight="1" ht="14.699999999999998">
      <c r="J6" s="1002"/>
      <c r="K6" s="1002"/>
      <c r="L6" s="3230" t="str">
        <f>IF(org=0,"Не определено",org)</f>
        <v>АО "ДГК"</v>
      </c>
      <c r="M6" s="3230"/>
      <c r="N6" s="3230"/>
      <c r="O6" s="3230"/>
      <c r="P6" s="3230"/>
      <c r="Q6" s="3230"/>
      <c r="R6" s="3230"/>
      <c r="S6" s="3230"/>
      <c r="T6" s="3230"/>
      <c r="U6" s="3230"/>
      <c r="V6" s="1869"/>
      <c r="AD6" s="1781">
        <v>14</v>
      </c>
    </row>
    <row customHeight="1" ht="14.699999999999998">
      <c r="J7" s="1002"/>
      <c r="K7" s="1002"/>
      <c r="L7" s="1901"/>
      <c r="M7" s="989"/>
      <c r="N7" s="989"/>
      <c r="O7" s="948"/>
      <c r="P7" s="948"/>
      <c r="Q7" s="948"/>
      <c r="R7" s="948"/>
      <c r="S7" s="948"/>
      <c r="T7" s="948"/>
      <c r="U7" s="948"/>
      <c r="V7" s="948"/>
      <c r="W7" s="1135"/>
      <c r="AD7" s="1781">
        <v>14</v>
      </c>
    </row>
    <row s="34794" customFormat="1" customHeight="1" ht="48.29999999999999">
      <c r="A8" s="1994"/>
      <c r="B8" s="1994"/>
      <c r="C8" s="1994"/>
      <c r="D8" s="1994"/>
      <c r="E8" s="1994"/>
      <c r="F8" s="1994"/>
      <c r="G8" s="1994"/>
      <c r="H8" s="1994"/>
      <c r="L8" s="1902"/>
      <c r="M8" s="921" t="s">
        <v>42</v>
      </c>
      <c r="N8" s="930"/>
      <c r="O8" s="2877" t="str">
        <f>IF(TITLE_NAME_OR_PR_CHANGE="",IF(TITLE_NAME_OR_PR="","",TITLE_NAME_OR_PR),TITLE_NAME_OR_PR_CHANGE)</f>
        <v/>
      </c>
      <c r="P8" s="2877"/>
      <c r="Q8" s="2877"/>
      <c r="R8" s="2877"/>
      <c r="S8" s="2877"/>
      <c r="T8" s="2877"/>
      <c r="U8" s="2877"/>
      <c r="V8" s="952"/>
      <c r="W8" s="952"/>
      <c r="X8" s="906"/>
      <c r="Y8" s="994"/>
      <c r="Z8" s="994"/>
      <c r="AA8" s="994"/>
      <c r="AB8" s="994"/>
      <c r="AC8" s="994"/>
      <c r="AD8" s="1044">
        <v>46</v>
      </c>
    </row>
    <row s="34794" customFormat="1" customHeight="1" ht="24">
      <c r="A9" s="1994"/>
      <c r="B9" s="1994"/>
      <c r="C9" s="1994"/>
      <c r="D9" s="1994"/>
      <c r="E9" s="1994"/>
      <c r="F9" s="1994"/>
      <c r="G9" s="1994"/>
      <c r="H9" s="1994"/>
      <c r="L9" s="1902"/>
      <c r="M9" s="921" t="s">
        <v>441</v>
      </c>
      <c r="N9" s="930"/>
      <c r="O9" s="2877" t="str">
        <f>IF(TITLE_DATE_CHANGE_PERIOD="",IF(TITLE_DATE_PR="","",TITLE_DATE_PR),TITLE_DATE_CHANGE_PERIOD)</f>
        <v/>
      </c>
      <c r="P9" s="2877"/>
      <c r="Q9" s="2877"/>
      <c r="R9" s="2877"/>
      <c r="S9" s="2877"/>
      <c r="T9" s="2877"/>
      <c r="U9" s="2877"/>
      <c r="V9" s="952"/>
      <c r="W9" s="952"/>
      <c r="X9" s="906"/>
      <c r="Y9" s="994"/>
      <c r="Z9" s="994"/>
      <c r="AA9" s="994"/>
      <c r="AB9" s="994"/>
      <c r="AC9" s="994"/>
      <c r="AD9" s="1044">
        <v>23</v>
      </c>
    </row>
    <row s="34794" customFormat="1" customHeight="1" ht="24">
      <c r="A10" s="1994"/>
      <c r="B10" s="1994"/>
      <c r="C10" s="1994"/>
      <c r="D10" s="1994"/>
      <c r="E10" s="1994"/>
      <c r="F10" s="1994"/>
      <c r="G10" s="1994"/>
      <c r="H10" s="1994"/>
      <c r="L10" s="1876"/>
      <c r="M10" s="921" t="s">
        <v>442</v>
      </c>
      <c r="N10" s="930"/>
      <c r="O10" s="2877" t="str">
        <f>IF(TITLE_NUMBER_PR_CHANGE="",IF(TITLE_NUMBER_PR="","",TITLE_NUMBER_PR),TITLE_NUMBER_PR_CHANGE)</f>
        <v/>
      </c>
      <c r="P10" s="2877"/>
      <c r="Q10" s="2877"/>
      <c r="R10" s="2877"/>
      <c r="S10" s="2877"/>
      <c r="T10" s="2877"/>
      <c r="U10" s="2877"/>
      <c r="V10" s="952"/>
      <c r="W10" s="952"/>
      <c r="X10" s="906"/>
      <c r="Y10" s="994"/>
      <c r="Z10" s="994"/>
      <c r="AA10" s="994"/>
      <c r="AB10" s="994"/>
      <c r="AC10" s="994"/>
      <c r="AD10" s="1044">
        <v>23</v>
      </c>
    </row>
    <row s="34794" customFormat="1" customHeight="1" ht="24">
      <c r="A11" s="1994"/>
      <c r="B11" s="1994"/>
      <c r="C11" s="1994"/>
      <c r="D11" s="1994"/>
      <c r="E11" s="1994"/>
      <c r="F11" s="1994"/>
      <c r="G11" s="1994"/>
      <c r="H11" s="1994"/>
      <c r="L11" s="1876"/>
      <c r="M11" s="921" t="s">
        <v>43</v>
      </c>
      <c r="N11" s="930"/>
      <c r="O11" s="2877" t="str">
        <f>IF(TITLE_IST_PUB_CHANGE="",IF(TITLE_IST_PUB="","",TITLE_IST_PUB),TITLE_IST_PUB_CHANGE)</f>
        <v/>
      </c>
      <c r="P11" s="2877"/>
      <c r="Q11" s="2877"/>
      <c r="R11" s="2877"/>
      <c r="S11" s="2877"/>
      <c r="T11" s="2877"/>
      <c r="U11" s="2877"/>
      <c r="V11" s="952"/>
      <c r="W11" s="952"/>
      <c r="X11" s="906"/>
      <c r="Y11" s="994"/>
      <c r="Z11" s="994"/>
      <c r="AA11" s="994"/>
      <c r="AB11" s="994"/>
      <c r="AC11" s="994"/>
      <c r="AD11" s="1044">
        <v>23</v>
      </c>
    </row>
    <row s="34794" customFormat="1" customHeight="1" ht="11.25" hidden="1">
      <c r="A12" s="1994"/>
      <c r="B12" s="1994"/>
      <c r="C12" s="1994"/>
      <c r="D12" s="1994"/>
      <c r="E12" s="1994"/>
      <c r="F12" s="1994"/>
      <c r="G12" s="1994"/>
      <c r="H12" s="1994"/>
      <c r="L12" s="3231"/>
      <c r="M12" s="3231"/>
      <c r="N12" s="1913"/>
      <c r="O12" s="952"/>
      <c r="P12" s="952"/>
      <c r="Q12" s="952"/>
      <c r="R12" s="952"/>
      <c r="S12" s="952"/>
      <c r="T12" s="952"/>
      <c r="U12" s="952"/>
      <c r="V12" s="904" t="s">
        <v>445</v>
      </c>
      <c r="Y12" s="994"/>
      <c r="Z12" s="994"/>
      <c r="AA12" s="994"/>
      <c r="AB12" s="994"/>
      <c r="AC12" s="994"/>
      <c r="AD12" s="1044">
        <v>0</v>
      </c>
    </row>
    <row customHeight="1" ht="14.699999999999998">
      <c r="J13" s="1002"/>
      <c r="K13" s="1002"/>
      <c r="L13" s="1901"/>
      <c r="M13" s="989"/>
      <c r="N13" s="1870"/>
      <c r="O13" s="2878"/>
      <c r="P13" s="2878"/>
      <c r="Q13" s="2878"/>
      <c r="R13" s="2878"/>
      <c r="S13" s="2878"/>
      <c r="T13" s="2878"/>
      <c r="U13" s="2878"/>
      <c r="V13" s="2878"/>
      <c r="AD13" s="1781">
        <v>14</v>
      </c>
    </row>
    <row customHeight="1" ht="14.699999999999998">
      <c r="J14" s="1002"/>
      <c r="K14" s="1002"/>
      <c r="L14" s="2753" t="s">
        <v>318</v>
      </c>
      <c r="M14" s="2753"/>
      <c r="N14" s="2753"/>
      <c r="O14" s="2753"/>
      <c r="P14" s="2753"/>
      <c r="Q14" s="2753"/>
      <c r="R14" s="2753"/>
      <c r="S14" s="2753"/>
      <c r="T14" s="2753"/>
      <c r="U14" s="2753"/>
      <c r="V14" s="2753"/>
      <c r="W14" s="2753"/>
      <c r="X14" s="2753" t="s">
        <v>319</v>
      </c>
      <c r="AD14" s="1781">
        <v>14</v>
      </c>
    </row>
    <row customHeight="1" ht="14.699999999999998">
      <c r="J15" s="1002"/>
      <c r="K15" s="1002"/>
      <c r="L15" s="2899" t="s">
        <v>88</v>
      </c>
      <c r="M15" s="2835" t="s">
        <v>446</v>
      </c>
      <c r="N15" s="927"/>
      <c r="O15" s="2900" t="s">
        <v>2410</v>
      </c>
      <c r="P15" s="2901"/>
      <c r="Q15" s="2901"/>
      <c r="R15" s="2901"/>
      <c r="S15" s="2901"/>
      <c r="T15" s="2901"/>
      <c r="U15" s="2902"/>
      <c r="V15" s="2903" t="s">
        <v>448</v>
      </c>
      <c r="W15" s="2906" t="s">
        <v>1327</v>
      </c>
      <c r="X15" s="2753"/>
      <c r="AD15" s="1781">
        <v>14</v>
      </c>
    </row>
    <row customHeight="1" ht="35.699999999999996">
      <c r="J16" s="1002"/>
      <c r="K16" s="1002"/>
      <c r="L16" s="2899"/>
      <c r="M16" s="2835"/>
      <c r="N16" s="1657"/>
      <c r="O16" s="2886" t="s">
        <v>451</v>
      </c>
      <c r="P16" s="2886" t="s">
        <v>452</v>
      </c>
      <c r="Q16" s="2888" t="s">
        <v>453</v>
      </c>
      <c r="R16" s="2889"/>
      <c r="S16" s="2888" t="s">
        <v>467</v>
      </c>
      <c r="T16" s="2895"/>
      <c r="U16" s="2889"/>
      <c r="V16" s="2904"/>
      <c r="W16" s="2907"/>
      <c r="X16" s="2753"/>
      <c r="AD16" s="1781">
        <v>34</v>
      </c>
    </row>
    <row customHeight="1" ht="35.699999999999996">
      <c r="A17" s="1996" t="s">
        <v>154</v>
      </c>
      <c r="B17" s="1996" t="s">
        <v>155</v>
      </c>
      <c r="C17" s="1996" t="s">
        <v>156</v>
      </c>
      <c r="D17" s="1996" t="s">
        <v>157</v>
      </c>
      <c r="E17" s="1996"/>
      <c r="J17" s="1002"/>
      <c r="K17" s="1002"/>
      <c r="L17" s="2899"/>
      <c r="M17" s="2835"/>
      <c r="N17" s="928"/>
      <c r="O17" s="2887"/>
      <c r="P17" s="2887"/>
      <c r="Q17" s="1848" t="s">
        <v>462</v>
      </c>
      <c r="R17" s="1848" t="s">
        <v>463</v>
      </c>
      <c r="S17" s="1918" t="s">
        <v>464</v>
      </c>
      <c r="T17" s="2896" t="s">
        <v>465</v>
      </c>
      <c r="U17" s="2897"/>
      <c r="V17" s="2905"/>
      <c r="W17" s="2908"/>
      <c r="X17" s="2753"/>
      <c r="AD17" s="1781">
        <v>34</v>
      </c>
    </row>
    <row s="35197" customFormat="1" customHeight="1" ht="11.549999999999999">
      <c r="A18" s="1996"/>
      <c r="B18" s="1996"/>
      <c r="C18" s="1996"/>
      <c r="D18" s="1996"/>
      <c r="E18" s="1996"/>
      <c r="F18" s="1988"/>
      <c r="G18" s="1988"/>
      <c r="H18" s="1988"/>
      <c r="I18" s="1872"/>
      <c r="J18" s="1873"/>
      <c r="K18" s="1880">
        <v>1</v>
      </c>
      <c r="L18" s="1903" t="s">
        <v>118</v>
      </c>
      <c r="M18" s="1881" t="s">
        <v>102</v>
      </c>
      <c r="N18" s="1871" t="str">
        <f>OFFSET(N18,0,-1)</f>
        <v>2</v>
      </c>
      <c r="O18" s="1915">
        <f>OFFSET(O18,0,-1)+1</f>
        <v>3</v>
      </c>
      <c r="P18" s="1915"/>
      <c r="Q18" s="1915">
        <f>OFFSET(Q18,0,-1)+1</f>
        <v>1</v>
      </c>
      <c r="R18" s="1915">
        <f>OFFSET(R18,0,-1)+1</f>
        <v>2</v>
      </c>
      <c r="S18" s="1915">
        <f>OFFSET(S18,0,-1)+1</f>
        <v>3</v>
      </c>
      <c r="T18" s="2898">
        <f>OFFSET(T18,0,-1)+1</f>
        <v>4</v>
      </c>
      <c r="U18" s="2898"/>
      <c r="V18" s="1915">
        <f>OFFSET(V18,0,-2)+1</f>
        <v>5</v>
      </c>
      <c r="W18" s="1871">
        <f>OFFSET(W18,0,-1)</f>
        <v>5</v>
      </c>
      <c r="X18" s="1915">
        <f>OFFSET(X18,0,-1)+1</f>
        <v>6</v>
      </c>
      <c r="Y18" s="1137"/>
      <c r="Z18" s="1137"/>
      <c r="AA18" s="1137"/>
      <c r="AB18" s="1137"/>
      <c r="AC18" s="1137"/>
      <c r="AD18" s="1122">
        <v>11</v>
      </c>
    </row>
    <row customHeight="1" ht="21">
      <c r="A19" s="1989" t="s">
        <v>188</v>
      </c>
      <c r="B19" s="1989" t="s">
        <v>189</v>
      </c>
      <c r="C19" s="1989" t="s">
        <v>190</v>
      </c>
      <c r="D19" s="1989" t="s">
        <v>191</v>
      </c>
      <c r="E19" s="1989"/>
      <c r="F19" s="1991"/>
      <c r="G19" s="1991"/>
      <c r="H19" s="1991"/>
      <c r="I19" s="987"/>
      <c r="J19" s="986"/>
      <c r="K19" s="981"/>
      <c r="L19" s="1919">
        <f>INDEX(PT_DIFFERENTIATION_NUM_NTAR,MATCH(A19,PT_DIFFERENTIATION_NTAR_ID,0))</f>
        <v>0</v>
      </c>
      <c r="M19" s="924" t="s">
        <v>143</v>
      </c>
      <c r="N19" s="926"/>
      <c r="O19" s="3232" t="str">
        <f>INDEX(PT_DIFFERENTIATION_NTAR,MATCH(A19,PT_DIFFERENTIATION_NTAR_ID,0))</f>
        <v/>
      </c>
      <c r="P19" s="3232"/>
      <c r="Q19" s="3232"/>
      <c r="R19" s="3232"/>
      <c r="S19" s="3232"/>
      <c r="T19" s="3232"/>
      <c r="U19" s="3232"/>
      <c r="V19" s="3232"/>
      <c r="W19" s="3232"/>
      <c r="X19" s="1884" t="s">
        <v>414</v>
      </c>
      <c r="Z19" s="1126"/>
      <c r="AA19" s="1126" t="str">
        <f>IF(M19="","",M19)</f>
        <v>Наименование тарифа</v>
      </c>
      <c r="AB19" s="1126"/>
      <c r="AC19" s="1126"/>
      <c r="AD19" s="1781">
        <v>20</v>
      </c>
    </row>
    <row customHeight="1" ht="21">
      <c r="A20" s="1989" t="s">
        <v>188</v>
      </c>
      <c r="B20" s="1989" t="s">
        <v>189</v>
      </c>
      <c r="C20" s="1989" t="s">
        <v>190</v>
      </c>
      <c r="D20" s="1989" t="s">
        <v>191</v>
      </c>
      <c r="E20" s="1989"/>
      <c r="F20" s="1991"/>
      <c r="G20" s="1991"/>
      <c r="H20" s="1991"/>
      <c r="I20" s="1916"/>
      <c r="J20" s="978"/>
      <c r="K20" s="979"/>
      <c r="L20" s="1919" t="str">
        <f>INDEX(PT_DIFFERENTIATION_NUM_TER,MATCH(B19,PT_DIFFERENTIATION_TER_ID,0))</f>
        <v>.</v>
      </c>
      <c r="M20" s="934" t="s">
        <v>415</v>
      </c>
      <c r="N20" s="926"/>
      <c r="O20" s="3232" t="str">
        <f>INDEX(PT_DIFFERENTIATION_TER,MATCH(B19,PT_DIFFERENTIATION_TER_ID,0))</f>
        <v/>
      </c>
      <c r="P20" s="3232"/>
      <c r="Q20" s="3232"/>
      <c r="R20" s="3232"/>
      <c r="S20" s="3232"/>
      <c r="T20" s="3232"/>
      <c r="U20" s="3232"/>
      <c r="V20" s="3232"/>
      <c r="W20" s="3232"/>
      <c r="X20" s="1884" t="s">
        <v>416</v>
      </c>
      <c r="Z20" s="1126"/>
      <c r="AA20" s="1126" t="str">
        <f>IF(M20="","",M20)</f>
        <v>Территория действия тарифа</v>
      </c>
      <c r="AB20" s="1126"/>
      <c r="AC20" s="1126"/>
      <c r="AD20" s="1781">
        <v>20</v>
      </c>
    </row>
    <row customHeight="1" ht="24">
      <c r="A21" s="1989" t="s">
        <v>188</v>
      </c>
      <c r="B21" s="1989" t="s">
        <v>189</v>
      </c>
      <c r="C21" s="1989" t="s">
        <v>190</v>
      </c>
      <c r="D21" s="1989" t="s">
        <v>191</v>
      </c>
      <c r="E21" s="1989"/>
      <c r="F21" s="1991"/>
      <c r="G21" s="1991"/>
      <c r="H21" s="1991"/>
      <c r="I21" s="980"/>
      <c r="J21" s="978"/>
      <c r="K21" s="979"/>
      <c r="L21" s="1919" t="str">
        <f>INDEX(PT_DIFFERENTIATION_NUM_CS,MATCH(C19,PT_DIFFERENTIATION_CS_ID,0))</f>
        <v>..</v>
      </c>
      <c r="M21" s="935" t="s">
        <v>417</v>
      </c>
      <c r="N21" s="926"/>
      <c r="O21" s="3232" t="str">
        <f>INDEX(PT_DIFFERENTIATION_CS,MATCH(C19,PT_DIFFERENTIATION_CS_ID,0))</f>
        <v/>
      </c>
      <c r="P21" s="3232"/>
      <c r="Q21" s="3232"/>
      <c r="R21" s="3232"/>
      <c r="S21" s="3232"/>
      <c r="T21" s="3232"/>
      <c r="U21" s="3232"/>
      <c r="V21" s="3232"/>
      <c r="W21" s="3232"/>
      <c r="X21" s="1884" t="s">
        <v>418</v>
      </c>
      <c r="Z21" s="1126"/>
      <c r="AA21" s="1126" t="str">
        <f>IF(M21="","",M21)</f>
        <v>Наименование системы теплоснабжения </v>
      </c>
      <c r="AB21" s="1126"/>
      <c r="AC21" s="1126"/>
      <c r="AD21" s="1781">
        <v>23</v>
      </c>
    </row>
    <row customHeight="1" ht="21">
      <c r="A22" s="1989" t="s">
        <v>188</v>
      </c>
      <c r="B22" s="1989" t="s">
        <v>189</v>
      </c>
      <c r="C22" s="1989" t="s">
        <v>190</v>
      </c>
      <c r="D22" s="1989" t="s">
        <v>191</v>
      </c>
      <c r="E22" s="1989"/>
      <c r="F22" s="1991"/>
      <c r="G22" s="1991"/>
      <c r="H22" s="1991"/>
      <c r="I22" s="980"/>
      <c r="J22" s="978"/>
      <c r="K22" s="979"/>
      <c r="L22" s="1919" t="str">
        <f>INDEX(PT_DIFFERENTIATION_NUM_IST_TE,MATCH(D19,PT_DIFFERENTIATION_IST_TE_ID,0))</f>
        <v>...</v>
      </c>
      <c r="M22" s="936" t="s">
        <v>419</v>
      </c>
      <c r="N22" s="926"/>
      <c r="O22" s="3232" t="str">
        <f>INDEX(PT_DIFFERENTIATION_IST_TE,MATCH(D19,PT_DIFFERENTIATION_IST_TE_ID,0))</f>
        <v/>
      </c>
      <c r="P22" s="3232"/>
      <c r="Q22" s="3232"/>
      <c r="R22" s="3232"/>
      <c r="S22" s="3232"/>
      <c r="T22" s="3232"/>
      <c r="U22" s="3232"/>
      <c r="V22" s="3232"/>
      <c r="W22" s="3232"/>
      <c r="X22" s="1884" t="s">
        <v>420</v>
      </c>
      <c r="Z22" s="1126"/>
      <c r="AA22" s="1126" t="str">
        <f>IF(M22="","",M22)</f>
        <v>Источник тепловой энергии  </v>
      </c>
      <c r="AB22" s="1126"/>
      <c r="AC22" s="1126"/>
      <c r="AD22" s="1781">
        <v>20</v>
      </c>
    </row>
    <row customHeight="1" ht="96.75">
      <c r="A23" s="1989" t="s">
        <v>188</v>
      </c>
      <c r="B23" s="1989" t="s">
        <v>189</v>
      </c>
      <c r="C23" s="1989" t="s">
        <v>190</v>
      </c>
      <c r="D23" s="1989" t="s">
        <v>191</v>
      </c>
      <c r="E23" s="1989"/>
      <c r="F23" s="3233" t="str">
        <f>L22&amp;".1"</f>
        <v>....1</v>
      </c>
      <c r="I23" s="2883">
        <v>1</v>
      </c>
      <c r="J23" s="1917"/>
      <c r="K23" s="982"/>
      <c r="L23" s="1919" t="str">
        <f>$F$23</f>
        <v>....1</v>
      </c>
      <c r="M23" s="911" t="s">
        <v>422</v>
      </c>
      <c r="N23" s="926"/>
      <c r="O23" s="2931"/>
      <c r="P23" s="2931"/>
      <c r="Q23" s="2931"/>
      <c r="R23" s="2931"/>
      <c r="S23" s="2931"/>
      <c r="T23" s="2931"/>
      <c r="U23" s="2931"/>
      <c r="V23" s="2931"/>
      <c r="W23" s="2931"/>
      <c r="X23" s="1884" t="s">
        <v>423</v>
      </c>
      <c r="Z23" s="1126"/>
      <c r="AA23" s="1126" t="str">
        <f>IF(M23="","",M23)</f>
        <v>Схема подключения теплопотребляющей установки к коллектору источника тепловой энергии</v>
      </c>
      <c r="AB23" s="1126"/>
      <c r="AC23" s="1126"/>
      <c r="AD23" s="1781">
        <v>92</v>
      </c>
    </row>
    <row customHeight="1" ht="86.25">
      <c r="A24" s="1989" t="s">
        <v>188</v>
      </c>
      <c r="B24" s="1989" t="s">
        <v>189</v>
      </c>
      <c r="C24" s="1989" t="s">
        <v>190</v>
      </c>
      <c r="D24" s="1989" t="s">
        <v>191</v>
      </c>
      <c r="E24" s="1989"/>
      <c r="F24" s="3233"/>
      <c r="G24" s="2843" t="str">
        <f>F23&amp;".1"</f>
        <v>....1.1</v>
      </c>
      <c r="I24" s="2883"/>
      <c r="J24" s="2883">
        <v>1</v>
      </c>
      <c r="K24" s="983"/>
      <c r="L24" s="1919" t="str">
        <f>$G$24</f>
        <v>....1.1</v>
      </c>
      <c r="M24" s="912" t="s">
        <v>425</v>
      </c>
      <c r="N24" s="926"/>
      <c r="O24" s="2871"/>
      <c r="P24" s="2872"/>
      <c r="Q24" s="2872"/>
      <c r="R24" s="2872"/>
      <c r="S24" s="2872"/>
      <c r="T24" s="2872"/>
      <c r="U24" s="2872"/>
      <c r="V24" s="2872"/>
      <c r="W24" s="2873"/>
      <c r="X24" s="1884" t="s">
        <v>426</v>
      </c>
      <c r="Z24" s="1126"/>
      <c r="AA24" s="1126" t="str">
        <f>IF(M24="","",M24)</f>
        <v>Группа потребителей</v>
      </c>
      <c r="AB24" s="1126"/>
      <c r="AC24" s="1126"/>
      <c r="AD24" s="1781">
        <v>82</v>
      </c>
    </row>
    <row customHeight="1" ht="11.549999999999999">
      <c r="A25" s="1989" t="s">
        <v>188</v>
      </c>
      <c r="B25" s="1989" t="s">
        <v>189</v>
      </c>
      <c r="C25" s="1989" t="s">
        <v>190</v>
      </c>
      <c r="D25" s="1989" t="s">
        <v>191</v>
      </c>
      <c r="E25" s="1989"/>
      <c r="F25" s="3233"/>
      <c r="G25" s="2843"/>
      <c r="H25" s="2843" t="str">
        <f>G24&amp;".1"</f>
        <v>....1.1.1</v>
      </c>
      <c r="I25" s="2883"/>
      <c r="J25" s="2883"/>
      <c r="K25" s="983">
        <v>1</v>
      </c>
      <c r="L25" s="1919" t="str">
        <f>$H$25</f>
        <v>....1.1.1</v>
      </c>
      <c r="M25" s="1973"/>
      <c r="N25" s="926"/>
      <c r="O25" s="1377"/>
      <c r="P25" s="951"/>
      <c r="Q25" s="1377"/>
      <c r="R25" s="1883"/>
      <c r="S25" s="3228"/>
      <c r="T25" s="2733" t="s">
        <v>66</v>
      </c>
      <c r="U25" s="3228"/>
      <c r="V25" s="2733" t="s">
        <v>19</v>
      </c>
      <c r="W25" s="951"/>
      <c r="X25" s="2879" t="s">
        <v>428</v>
      </c>
      <c r="Y25" s="1137">
        <f>STRCHECKDATE(O26:W26)</f>
      </c>
      <c r="Z25" s="1126"/>
      <c r="AA25" s="1126" t="str">
        <f>IF(M25="","",M25)</f>
        <v/>
      </c>
      <c r="AB25" s="1126"/>
      <c r="AC25" s="1126"/>
      <c r="AD25" s="1781">
        <v>11</v>
      </c>
    </row>
    <row customHeight="1" ht="11.549999999999999">
      <c r="A26" s="1989" t="s">
        <v>188</v>
      </c>
      <c r="B26" s="1989" t="s">
        <v>189</v>
      </c>
      <c r="C26" s="1989" t="s">
        <v>190</v>
      </c>
      <c r="D26" s="1989" t="s">
        <v>191</v>
      </c>
      <c r="E26" s="1989"/>
      <c r="F26" s="3233"/>
      <c r="G26" s="2843"/>
      <c r="H26" s="2843"/>
      <c r="I26" s="2883"/>
      <c r="J26" s="2883"/>
      <c r="K26" s="983"/>
      <c r="L26" s="1920"/>
      <c r="M26" s="926"/>
      <c r="N26" s="926"/>
      <c r="O26" s="951"/>
      <c r="P26" s="951"/>
      <c r="Q26" s="951"/>
      <c r="R26" s="954" t="str">
        <f>S25&amp;"-"&amp;U25</f>
        <v>-</v>
      </c>
      <c r="S26" s="2892"/>
      <c r="T26" s="2733"/>
      <c r="U26" s="2892"/>
      <c r="V26" s="2733"/>
      <c r="W26" s="951"/>
      <c r="X26" s="2880"/>
      <c r="Z26" s="1126"/>
      <c r="AA26" s="1126" t="str">
        <f>IF(M26="","",M26)</f>
        <v/>
      </c>
      <c r="AB26" s="1126"/>
      <c r="AC26" s="1126"/>
      <c r="AD26" s="1781">
        <v>11</v>
      </c>
    </row>
    <row customHeight="1" ht="15.75">
      <c r="A27" s="1989" t="s">
        <v>188</v>
      </c>
      <c r="B27" s="1989" t="s">
        <v>189</v>
      </c>
      <c r="C27" s="1989" t="s">
        <v>190</v>
      </c>
      <c r="D27" s="1989" t="s">
        <v>191</v>
      </c>
      <c r="E27" s="1989"/>
      <c r="F27" s="3233"/>
      <c r="G27" s="2843"/>
      <c r="I27" s="2883"/>
      <c r="J27" s="2883"/>
      <c r="K27" s="982"/>
      <c r="L27" s="1904"/>
      <c r="M27" s="914" t="s">
        <v>429</v>
      </c>
      <c r="N27" s="993"/>
      <c r="O27" s="993"/>
      <c r="P27" s="993"/>
      <c r="Q27" s="993"/>
      <c r="R27" s="993"/>
      <c r="S27" s="993"/>
      <c r="T27" s="993"/>
      <c r="U27" s="993"/>
      <c r="V27" s="993"/>
      <c r="W27" s="950"/>
      <c r="X27" s="2881"/>
      <c r="Z27" s="1126"/>
      <c r="AA27" s="1126" t="str">
        <f>IF(M27="","",M27)</f>
        <v>Добавить вид теплоносителя (параметры теплоносителя)</v>
      </c>
      <c r="AB27" s="1126"/>
      <c r="AC27" s="1126"/>
      <c r="AD27" s="1781">
        <v>15</v>
      </c>
    </row>
    <row customHeight="1" ht="15.75">
      <c r="A28" s="1989" t="s">
        <v>188</v>
      </c>
      <c r="B28" s="1989" t="s">
        <v>189</v>
      </c>
      <c r="C28" s="1989" t="s">
        <v>190</v>
      </c>
      <c r="D28" s="1989" t="s">
        <v>191</v>
      </c>
      <c r="E28" s="1989"/>
      <c r="F28" s="3233"/>
      <c r="I28" s="2883"/>
      <c r="J28" s="1917"/>
      <c r="K28" s="982"/>
      <c r="L28" s="1904"/>
      <c r="M28" s="913" t="s">
        <v>430</v>
      </c>
      <c r="N28" s="993"/>
      <c r="O28" s="993"/>
      <c r="P28" s="993"/>
      <c r="Q28" s="993"/>
      <c r="R28" s="993"/>
      <c r="S28" s="993"/>
      <c r="T28" s="993"/>
      <c r="U28" s="993"/>
      <c r="V28" s="992"/>
      <c r="W28" s="993"/>
      <c r="X28" s="929"/>
      <c r="Z28" s="1126"/>
      <c r="AA28" s="1126" t="str">
        <f>IF(M28="","",M28)</f>
        <v>Добавить группу потребителей</v>
      </c>
      <c r="AB28" s="1126"/>
      <c r="AC28" s="1126"/>
      <c r="AD28" s="1781">
        <v>15</v>
      </c>
    </row>
    <row customHeight="1" ht="14.699999999999998">
      <c r="A29" s="1989" t="s">
        <v>188</v>
      </c>
      <c r="B29" s="1989" t="s">
        <v>189</v>
      </c>
      <c r="C29" s="1989" t="s">
        <v>190</v>
      </c>
      <c r="D29" s="1989" t="s">
        <v>191</v>
      </c>
      <c r="E29" s="1989"/>
      <c r="F29" s="1991"/>
      <c r="G29" s="1991"/>
      <c r="H29" s="1163"/>
      <c r="I29" s="986"/>
      <c r="J29" s="1001"/>
      <c r="K29" s="981"/>
      <c r="L29" s="1904"/>
      <c r="M29" s="991" t="s">
        <v>431</v>
      </c>
      <c r="N29" s="993"/>
      <c r="O29" s="993"/>
      <c r="P29" s="993"/>
      <c r="Q29" s="993"/>
      <c r="R29" s="993"/>
      <c r="S29" s="993"/>
      <c r="T29" s="993"/>
      <c r="U29" s="993"/>
      <c r="V29" s="992"/>
      <c r="W29" s="993"/>
      <c r="X29" s="929"/>
      <c r="Z29" s="1126"/>
      <c r="AA29" s="1126" t="str">
        <f>IF(M29="","",M29)</f>
        <v>Добавить схему подключения</v>
      </c>
      <c r="AB29" s="1126"/>
      <c r="AC29" s="1126"/>
      <c r="AD29" s="1781">
        <v>14</v>
      </c>
    </row>
    <row customHeight="1" ht="14.699999999999998">
      <c r="A30" s="1989" t="s">
        <v>188</v>
      </c>
      <c r="B30" s="1989" t="s">
        <v>189</v>
      </c>
      <c r="C30" s="1989" t="s">
        <v>190</v>
      </c>
      <c r="D30" s="1989"/>
      <c r="E30" s="1989" t="s">
        <v>604</v>
      </c>
      <c r="F30" s="1991"/>
      <c r="G30" s="1991"/>
      <c r="H30" s="1163"/>
      <c r="I30" s="986"/>
      <c r="J30" s="1001"/>
      <c r="K30" s="981"/>
      <c r="L30" s="1905"/>
      <c r="M30" s="1894"/>
      <c r="N30" s="1895"/>
      <c r="O30" s="1895"/>
      <c r="P30" s="1895"/>
      <c r="Q30" s="1895"/>
      <c r="R30" s="1895"/>
      <c r="S30" s="1895"/>
      <c r="T30" s="1895"/>
      <c r="U30" s="1895"/>
      <c r="V30" s="1896"/>
      <c r="W30" s="1895"/>
      <c r="X30" s="1897"/>
      <c r="Z30" s="1126"/>
      <c r="AA30" s="1126" t="str">
        <f>IF(M30="","",M30)</f>
        <v/>
      </c>
      <c r="AB30" s="1126"/>
      <c r="AC30" s="1126"/>
      <c r="AD30" s="1781">
        <v>14</v>
      </c>
    </row>
    <row customHeight="1" ht="14.699999999999998">
      <c r="A31" s="1989" t="s">
        <v>188</v>
      </c>
      <c r="B31" s="1989" t="s">
        <v>189</v>
      </c>
      <c r="C31" s="1989"/>
      <c r="D31" s="1989"/>
      <c r="E31" s="1989" t="s">
        <v>2411</v>
      </c>
      <c r="F31" s="2143"/>
      <c r="G31" s="2143"/>
      <c r="H31" s="1163"/>
      <c r="I31" s="984"/>
      <c r="J31" s="1001"/>
      <c r="K31" s="985"/>
      <c r="L31" s="1905"/>
      <c r="M31" s="1898"/>
      <c r="N31" s="1895"/>
      <c r="O31" s="1895"/>
      <c r="P31" s="1895"/>
      <c r="Q31" s="1895"/>
      <c r="R31" s="1895"/>
      <c r="S31" s="1895"/>
      <c r="T31" s="1895"/>
      <c r="U31" s="1895"/>
      <c r="V31" s="1896"/>
      <c r="W31" s="1895"/>
      <c r="X31" s="1897"/>
      <c r="Z31" s="1126"/>
      <c r="AA31" s="1126" t="str">
        <f>IF(M31="","",M31)</f>
        <v/>
      </c>
      <c r="AB31" s="1126"/>
      <c r="AC31" s="1126"/>
      <c r="AD31" s="1781">
        <v>14</v>
      </c>
    </row>
    <row customHeight="1" ht="14.699999999999998">
      <c r="A32" s="1989" t="s">
        <v>2412</v>
      </c>
      <c r="B32" s="1989"/>
      <c r="C32" s="1989"/>
      <c r="D32" s="1989"/>
      <c r="E32" s="1989" t="s">
        <v>113</v>
      </c>
      <c r="F32" s="2143"/>
      <c r="G32" s="2143"/>
      <c r="H32" s="1163"/>
      <c r="I32" s="986"/>
      <c r="J32" s="1001"/>
      <c r="K32" s="981"/>
      <c r="L32" s="1905"/>
      <c r="M32" s="1899"/>
      <c r="N32" s="1895"/>
      <c r="O32" s="1895"/>
      <c r="P32" s="1895"/>
      <c r="Q32" s="1895"/>
      <c r="R32" s="1895"/>
      <c r="S32" s="1895"/>
      <c r="T32" s="1895"/>
      <c r="U32" s="1895"/>
      <c r="V32" s="1896"/>
      <c r="W32" s="1895"/>
      <c r="X32" s="1897"/>
      <c r="Z32" s="1126"/>
      <c r="AA32" s="1126" t="str">
        <f>IF(M32="","",M32)</f>
        <v/>
      </c>
      <c r="AB32" s="1126"/>
      <c r="AC32" s="1126"/>
      <c r="AD32" s="1781">
        <v>14</v>
      </c>
    </row>
    <row s="34718" customFormat="1" customHeight="1" ht="11.549999999999999">
      <c r="A33" s="1989"/>
      <c r="B33" s="1989"/>
      <c r="C33" s="1989"/>
      <c r="D33" s="1989"/>
      <c r="E33" s="1989" t="s">
        <v>466</v>
      </c>
      <c r="F33" s="2144"/>
      <c r="G33" s="2145"/>
      <c r="H33" s="1163"/>
      <c r="L33" s="1906"/>
      <c r="M33" s="1900"/>
      <c r="N33" s="1895"/>
      <c r="O33" s="1895"/>
      <c r="P33" s="1895"/>
      <c r="Q33" s="1895"/>
      <c r="R33" s="1895"/>
      <c r="S33" s="1895"/>
      <c r="T33" s="1895"/>
      <c r="U33" s="1895"/>
      <c r="V33" s="1896"/>
      <c r="W33" s="1895"/>
      <c r="X33" s="1897"/>
      <c r="Y33" s="1005"/>
      <c r="Z33" s="1005"/>
      <c r="AA33" s="1005"/>
      <c r="AB33" s="1005"/>
      <c r="AC33" s="1005"/>
      <c r="AD33" s="999">
        <v>11</v>
      </c>
    </row>
    <row customHeight="1" ht="11.549999999999999">
      <c r="F34" s="1786"/>
      <c r="G34" s="1786"/>
      <c r="H34" s="1163"/>
      <c r="I34" s="1781"/>
      <c r="J34" s="1781"/>
      <c r="K34" s="1781"/>
      <c r="Y34" s="1781"/>
      <c r="Z34" s="1781"/>
      <c r="AA34" s="1781"/>
      <c r="AB34" s="1781"/>
      <c r="AC34" s="1781"/>
      <c r="AD34" s="1781">
        <v>11</v>
      </c>
    </row>
    <row customHeight="1" ht="28.5">
      <c r="H35" s="1163"/>
      <c r="L35" s="1914" t="s">
        <v>825</v>
      </c>
      <c r="M35" s="2911" t="s">
        <v>2413</v>
      </c>
      <c r="N35" s="2911"/>
      <c r="O35" s="2911"/>
      <c r="P35" s="2911"/>
      <c r="Q35" s="2911"/>
      <c r="R35" s="2911"/>
      <c r="S35" s="2911"/>
      <c r="T35" s="2911"/>
      <c r="U35" s="2911"/>
      <c r="V35" s="2911"/>
      <c r="W35" s="2911"/>
      <c r="X35" s="2911"/>
      <c r="AD35" s="1781">
        <v>27</v>
      </c>
    </row>
    <row customHeight="1" ht="109.19999999999999">
      <c r="H36" s="1163"/>
      <c r="I36" s="1929"/>
      <c r="M36" s="2911" t="s">
        <v>2414</v>
      </c>
      <c r="N36" s="2911"/>
      <c r="O36" s="2911"/>
      <c r="P36" s="2911"/>
      <c r="Q36" s="2911"/>
      <c r="R36" s="2911"/>
      <c r="S36" s="2911"/>
      <c r="T36" s="2911"/>
      <c r="U36" s="2911"/>
      <c r="V36" s="2911"/>
      <c r="W36" s="2911"/>
      <c r="X36" s="2911"/>
      <c r="AD36" s="1781">
        <v>104</v>
      </c>
    </row>
    <row customHeight="1" ht="14.699999999999998">
      <c r="H37" s="1163"/>
      <c r="AD37" s="1781">
        <v>14</v>
      </c>
    </row>
    <row customHeight="1" ht="14.699999999999998">
      <c r="H38" s="1163"/>
      <c r="AD38" s="1781">
        <v>14</v>
      </c>
    </row>
    <row customHeight="1" ht="14.699999999999998">
      <c r="H39" s="1163"/>
      <c r="AD39" s="1781">
        <v>14</v>
      </c>
    </row>
    <row customHeight="1" ht="14.699999999999998">
      <c r="H40" s="1163"/>
      <c r="AD40" s="1781">
        <v>14</v>
      </c>
    </row>
    <row customHeight="1" ht="22.5" hidden="1">
      <c r="A41" s="1786" t="s">
        <v>82</v>
      </c>
      <c r="B41" s="1786">
        <v>0</v>
      </c>
      <c r="C41" s="1786">
        <v>0</v>
      </c>
      <c r="D41" s="1786">
        <v>0</v>
      </c>
      <c r="E41" s="1786">
        <v>0</v>
      </c>
      <c r="F41" s="1988">
        <v>0</v>
      </c>
      <c r="G41" s="1988">
        <v>0</v>
      </c>
      <c r="H41" s="1988">
        <v>0</v>
      </c>
      <c r="I41" s="1912">
        <v>3</v>
      </c>
      <c r="J41" s="970">
        <v>3</v>
      </c>
      <c r="K41" s="970">
        <v>3</v>
      </c>
      <c r="L41" s="1207">
        <v>12</v>
      </c>
      <c r="M41" s="1781">
        <v>31</v>
      </c>
      <c r="N41" s="1781">
        <v>1</v>
      </c>
      <c r="O41" s="1781">
        <v>24</v>
      </c>
      <c r="P41" s="1781">
        <v>24</v>
      </c>
      <c r="Q41" s="1781">
        <v>24</v>
      </c>
      <c r="R41" s="1781">
        <v>24</v>
      </c>
      <c r="S41" s="1781">
        <v>11</v>
      </c>
      <c r="T41" s="1781">
        <v>3</v>
      </c>
      <c r="U41" s="1781">
        <v>11</v>
      </c>
      <c r="V41" s="1781">
        <v>8</v>
      </c>
      <c r="W41" s="1781">
        <v>4</v>
      </c>
      <c r="X41" s="1781">
        <v>115</v>
      </c>
      <c r="Y41" s="1137">
        <v>10</v>
      </c>
      <c r="Z41" s="1137">
        <v>10</v>
      </c>
      <c r="AA41" s="1137">
        <v>10</v>
      </c>
      <c r="AB41" s="1137">
        <v>10</v>
      </c>
      <c r="AC41" s="1137">
        <v>10</v>
      </c>
      <c r="AD41" s="1781">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1A8A16-1085-D04E-BCAC-74D56C654DF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B2B25A-EC21-E4E7-2643-60822CEC0FC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F5A442-A1F4-E938-97F3-DAEF5BA2CFD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5F9897-CE8B-308D-0708-FE06E93D015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82ED92-0956-5FB9-736E-6B10CE5AFD7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F5BD68-C069-E5E5-13F7-956D902A0FD7}"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35152" width="15.00390625" hidden="1" customWidth="1"/>
    <col min="2" max="2" style="35108" width="15.00390625" hidden="1" customWidth="1"/>
    <col min="3" max="3" style="35153" width="3.00390625" customWidth="1"/>
    <col min="4" max="4" style="35154" width="6.00390625" customWidth="1"/>
    <col min="5" max="5" style="35153" width="52.00390625" customWidth="1"/>
    <col min="6" max="6" style="35153" width="48.00390625" customWidth="1"/>
    <col min="7" max="7" style="35153" width="121.00390625" customWidth="1"/>
    <col min="8" max="8" style="35153" width="8.00390625" customWidth="1"/>
    <col min="9" max="9" style="35153" width="64.00390625" customWidth="1"/>
    <col min="10" max="10" style="35153" width="9.140625" hidden="1"/>
  </cols>
  <sheetData>
    <row customHeight="1" ht="11.25" hidden="1">
      <c r="A1" s="2312" t="s">
        <v>317</v>
      </c>
      <c r="J1" s="1081" t="s">
        <v>14</v>
      </c>
    </row>
    <row customHeight="1" ht="11.25" hidden="1">
      <c r="J2" s="1081">
        <v>0</v>
      </c>
    </row>
    <row s="35066" customFormat="1" customHeight="1" ht="11.549999999999999">
      <c r="A3" s="2312"/>
      <c r="B3" s="1127"/>
      <c r="D3" s="1104"/>
      <c r="J3" s="1103">
        <v>11</v>
      </c>
    </row>
    <row customHeight="1" ht="27.299999999999997">
      <c r="D4" s="278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784"/>
      <c r="F4" s="2785"/>
      <c r="I4" s="1341"/>
      <c r="J4" s="1081">
        <v>26</v>
      </c>
    </row>
    <row customHeight="1" ht="18">
      <c r="D5" s="2802" t="str">
        <f>IF(org=0,"Не определено",org)</f>
        <v>АО "ДГК"</v>
      </c>
      <c r="E5" s="2802"/>
      <c r="F5" s="2802"/>
      <c r="I5" s="1341"/>
      <c r="J5" s="1081">
        <v>17</v>
      </c>
    </row>
    <row s="35066" customFormat="1" customHeight="1" ht="11.549999999999999">
      <c r="A6" s="2312"/>
      <c r="B6" s="1127"/>
      <c r="D6" s="1340"/>
      <c r="E6" s="1340"/>
      <c r="F6" s="1378"/>
      <c r="G6" s="1340"/>
      <c r="J6" s="1103">
        <v>11</v>
      </c>
    </row>
    <row customHeight="1" ht="11.25" hidden="1">
      <c r="A7" s="1083"/>
      <c r="B7" s="1128"/>
      <c r="C7" s="1083"/>
      <c r="D7" s="1089"/>
      <c r="E7" s="2833"/>
      <c r="F7" s="2833"/>
      <c r="J7" s="1081">
        <v>0</v>
      </c>
    </row>
    <row customHeight="1" ht="11.549999999999999">
      <c r="A8" s="1083"/>
      <c r="B8" s="1128"/>
      <c r="C8" s="1083"/>
      <c r="D8" s="2830" t="s">
        <v>318</v>
      </c>
      <c r="E8" s="2831"/>
      <c r="F8" s="2831"/>
      <c r="G8" s="2834" t="s">
        <v>319</v>
      </c>
      <c r="J8" s="1081">
        <v>11</v>
      </c>
    </row>
    <row customHeight="1" ht="11.549999999999999">
      <c r="A9" s="1083"/>
      <c r="B9" s="1128"/>
      <c r="C9" s="1083"/>
      <c r="D9" s="1098" t="s">
        <v>88</v>
      </c>
      <c r="E9" s="1072" t="s">
        <v>320</v>
      </c>
      <c r="F9" s="1072" t="s">
        <v>321</v>
      </c>
      <c r="G9" s="2835"/>
      <c r="J9" s="1081">
        <v>11</v>
      </c>
    </row>
    <row customHeight="1" ht="12" hidden="1">
      <c r="A10" s="1083"/>
      <c r="B10" s="1128"/>
      <c r="C10" s="1083"/>
      <c r="D10" s="1090"/>
      <c r="E10" s="1090"/>
      <c r="F10" s="1090"/>
      <c r="G10" s="1090"/>
      <c r="J10" s="1081">
        <v>0</v>
      </c>
    </row>
    <row customHeight="1" ht="22.5" hidden="1">
      <c r="A11" s="1083"/>
      <c r="B11" s="1128"/>
      <c r="C11" s="1083"/>
      <c r="D11" s="1635" t="s">
        <v>118</v>
      </c>
      <c r="E11" s="1638" t="s">
        <v>322</v>
      </c>
      <c r="F11" s="1637" t="str">
        <f>IF(region_name="","",region_name)</f>
        <v>Амурская область</v>
      </c>
      <c r="G11" s="1638" t="s">
        <v>323</v>
      </c>
      <c r="H11" s="1101"/>
      <c r="J11" s="1081">
        <v>0</v>
      </c>
    </row>
    <row customHeight="1" ht="22.5" hidden="1">
      <c r="A12" s="1083"/>
      <c r="B12" s="1128"/>
      <c r="C12" s="1083"/>
      <c r="D12" s="1071" t="s">
        <v>118</v>
      </c>
      <c r="E12" s="107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069" t="s">
        <v>324</v>
      </c>
      <c r="G12" s="1100"/>
      <c r="H12" s="1101"/>
      <c r="J12" s="1081">
        <v>0</v>
      </c>
    </row>
    <row customHeight="1" ht="23.25">
      <c r="A13" s="1083"/>
      <c r="B13" s="1128"/>
      <c r="C13" s="1083"/>
      <c r="D13" s="1071" t="s">
        <v>118</v>
      </c>
      <c r="E13" s="1068" t="str">
        <f>"Наименование юридического лица"&amp;IF(TEMPLATE_SPHERE="TKO"," (индивидуального предпринимателя)","")</f>
        <v>Наименование юридического лица</v>
      </c>
      <c r="F13" s="1067"/>
      <c r="G13" s="107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1101"/>
      <c r="J13" s="1081">
        <v>22</v>
      </c>
    </row>
    <row customHeight="1" ht="22.5" hidden="1">
      <c r="A14" s="1083"/>
      <c r="B14" s="1128"/>
      <c r="C14" s="1083"/>
      <c r="D14" s="1635" t="s">
        <v>325</v>
      </c>
      <c r="E14" s="1636" t="s">
        <v>326</v>
      </c>
      <c r="F14" s="1637" t="str">
        <f>IF(inn="","",inn)</f>
        <v>1434031363</v>
      </c>
      <c r="G14" s="1638" t="s">
        <v>327</v>
      </c>
      <c r="H14" s="1101"/>
      <c r="J14" s="1081">
        <v>0</v>
      </c>
    </row>
    <row customHeight="1" ht="22.5" hidden="1">
      <c r="A15" s="1083"/>
      <c r="B15" s="1128"/>
      <c r="C15" s="1083"/>
      <c r="D15" s="1635" t="s">
        <v>328</v>
      </c>
      <c r="E15" s="1636" t="s">
        <v>329</v>
      </c>
      <c r="F15" s="1637" t="str">
        <f>IF(kpp="","",kpp)</f>
        <v>280145002</v>
      </c>
      <c r="G15" s="1638" t="s">
        <v>330</v>
      </c>
      <c r="H15" s="1101"/>
      <c r="J15" s="1081">
        <v>0</v>
      </c>
    </row>
    <row customHeight="1" ht="39">
      <c r="A16" s="1083"/>
      <c r="B16" s="1128"/>
      <c r="C16" s="1083"/>
      <c r="D16" s="1071" t="s">
        <v>102</v>
      </c>
      <c r="E16" s="106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067"/>
      <c r="G16" s="107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101"/>
      <c r="J16" s="1081">
        <v>37</v>
      </c>
    </row>
    <row customHeight="1" ht="23.25">
      <c r="A17" s="1083"/>
      <c r="B17" s="1128"/>
      <c r="C17" s="1083"/>
      <c r="D17" s="1071" t="s">
        <v>90</v>
      </c>
      <c r="E17" s="1068" t="str">
        <f>"Дата присвоения ОГРН"&amp;IF(TEMPLATE_SPHERE="TKO",""," (ОГРНИП)")</f>
        <v>Дата присвоения ОГРН (ОГРНИП)</v>
      </c>
      <c r="F17" s="2358" t="s">
        <v>22</v>
      </c>
      <c r="G17" s="1070" t="str">
        <f>"Дата присвоения ОГРН"&amp;IF(TEMPLATE_SPHERE="TKO",""," (ОГРНИП)")&amp;" указывается в виде «ДД.ММ.ГГГГ»."</f>
        <v>Дата присвоения ОГРН (ОГРНИП) указывается в виде «ДД.ММ.ГГГГ».</v>
      </c>
      <c r="H17" s="1101"/>
      <c r="J17" s="1081">
        <v>22</v>
      </c>
    </row>
    <row customHeight="1" ht="71.25">
      <c r="A18" s="1083"/>
      <c r="B18" s="1128"/>
      <c r="C18" s="1083"/>
      <c r="D18" s="1071" t="s">
        <v>91</v>
      </c>
      <c r="E18" s="106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067"/>
      <c r="G18" s="1100"/>
      <c r="H18" s="1101"/>
      <c r="J18" s="1081">
        <v>68</v>
      </c>
    </row>
    <row customHeight="1" ht="22.5">
      <c r="A19" s="2828" t="s">
        <v>331</v>
      </c>
      <c r="B19" s="1128"/>
      <c r="C19" s="2839"/>
      <c r="D19" s="1071" t="str">
        <f>A19</f>
        <v>5.1</v>
      </c>
      <c r="E19" s="1068" t="s">
        <v>332</v>
      </c>
      <c r="F19" s="1069" t="s">
        <v>324</v>
      </c>
      <c r="G19" s="1070" t="s">
        <v>333</v>
      </c>
      <c r="H19" s="1101"/>
      <c r="I19" s="1478"/>
      <c r="J19" s="1081">
        <v>0</v>
      </c>
    </row>
    <row customHeight="1" ht="24">
      <c r="A20" s="2828"/>
      <c r="B20" s="1128"/>
      <c r="C20" s="2839"/>
      <c r="D20" s="1066" t="str">
        <f>D19&amp;".1"</f>
        <v>5.1.1</v>
      </c>
      <c r="E20" s="1065" t="s">
        <v>334</v>
      </c>
      <c r="F20" s="3849" t="s">
        <v>22</v>
      </c>
      <c r="G20" s="1100"/>
      <c r="H20" s="1101"/>
      <c r="I20" s="1478"/>
      <c r="J20" s="1081">
        <v>0</v>
      </c>
    </row>
    <row customHeight="1" ht="22.5">
      <c r="A21" s="2828"/>
      <c r="B21" s="1128"/>
      <c r="C21" s="2839"/>
      <c r="D21" s="1066" t="str">
        <f>D19&amp;".2"</f>
        <v>5.1.2</v>
      </c>
      <c r="E21" s="1065" t="s">
        <v>335</v>
      </c>
      <c r="F21" s="3850" t="s">
        <v>22</v>
      </c>
      <c r="G21" s="1070" t="s">
        <v>336</v>
      </c>
      <c r="H21" s="1101"/>
      <c r="I21" s="1478"/>
      <c r="J21" s="1081">
        <v>0</v>
      </c>
    </row>
    <row customHeight="1" ht="22.5">
      <c r="A22" s="2828"/>
      <c r="B22" s="1128"/>
      <c r="C22" s="2839"/>
      <c r="D22" s="1066" t="str">
        <f>D19&amp;".3"</f>
        <v>5.1.3</v>
      </c>
      <c r="E22" s="1065" t="s">
        <v>337</v>
      </c>
      <c r="F22" s="3849" t="s">
        <v>22</v>
      </c>
      <c r="G22" s="1100"/>
      <c r="H22" s="1101"/>
      <c r="I22" s="1478"/>
      <c r="J22" s="1081">
        <v>0</v>
      </c>
    </row>
    <row customHeight="1" ht="22.5">
      <c r="A23" s="2828"/>
      <c r="B23" s="1128"/>
      <c r="C23" s="2839"/>
      <c r="D23" s="1066" t="str">
        <f>D19&amp;".4"</f>
        <v>5.1.4</v>
      </c>
      <c r="E23" s="1065" t="s">
        <v>338</v>
      </c>
      <c r="F23" s="3849" t="s">
        <v>22</v>
      </c>
      <c r="G23" s="1070" t="s">
        <v>339</v>
      </c>
      <c r="H23" s="1101"/>
      <c r="I23" s="1478"/>
      <c r="J23" s="1081">
        <v>0</v>
      </c>
    </row>
    <row customHeight="1" ht="22.5">
      <c r="A24" s="2604"/>
      <c r="B24" s="1128"/>
      <c r="C24" s="1118"/>
      <c r="D24" s="1093"/>
      <c r="E24" s="1794" t="s">
        <v>340</v>
      </c>
      <c r="F24" s="1094"/>
      <c r="G24" s="1095"/>
      <c r="H24" s="1101"/>
      <c r="I24" s="1478"/>
      <c r="J24" s="1081">
        <v>0</v>
      </c>
    </row>
    <row s="35108" customFormat="1" customHeight="1" ht="24.75" hidden="1">
      <c r="A25" s="1083"/>
      <c r="B25" s="1128"/>
      <c r="C25" s="1128"/>
      <c r="D25" s="1632" t="s">
        <v>90</v>
      </c>
      <c r="E25" s="1634" t="s">
        <v>341</v>
      </c>
      <c r="F25" s="1639" t="s">
        <v>324</v>
      </c>
      <c r="G25" s="1634"/>
      <c r="J25" s="1127">
        <v>0</v>
      </c>
    </row>
    <row s="35108" customFormat="1" customHeight="1" ht="11.25" hidden="1">
      <c r="A26" s="1083"/>
      <c r="B26" s="1128"/>
      <c r="C26" s="1128"/>
      <c r="D26" s="1632" t="s">
        <v>342</v>
      </c>
      <c r="E26" s="1633" t="s">
        <v>343</v>
      </c>
      <c r="F26" s="1639" t="s">
        <v>324</v>
      </c>
      <c r="G26" s="1634"/>
      <c r="J26" s="1127">
        <v>0</v>
      </c>
    </row>
    <row s="35108" customFormat="1" customHeight="1" ht="11.25" hidden="1">
      <c r="A27" s="1083"/>
      <c r="B27" s="1128"/>
      <c r="C27" s="1128"/>
      <c r="D27" s="1632" t="s">
        <v>344</v>
      </c>
      <c r="E27" s="1640" t="s">
        <v>345</v>
      </c>
      <c r="F27" s="1641"/>
      <c r="G27" s="163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1127">
        <v>0</v>
      </c>
    </row>
    <row s="35108" customFormat="1" customHeight="1" ht="11.25" hidden="1">
      <c r="A28" s="1083"/>
      <c r="B28" s="1128"/>
      <c r="C28" s="1128"/>
      <c r="D28" s="1632" t="s">
        <v>346</v>
      </c>
      <c r="E28" s="1640" t="s">
        <v>347</v>
      </c>
      <c r="F28" s="1641"/>
      <c r="G28" s="163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1127">
        <v>0</v>
      </c>
    </row>
    <row s="35108" customFormat="1" customHeight="1" ht="11.25" hidden="1">
      <c r="A29" s="1083"/>
      <c r="B29" s="1128"/>
      <c r="C29" s="1128"/>
      <c r="D29" s="1632" t="s">
        <v>348</v>
      </c>
      <c r="E29" s="1640" t="s">
        <v>349</v>
      </c>
      <c r="F29" s="1641"/>
      <c r="G29" s="163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1127">
        <v>0</v>
      </c>
    </row>
    <row s="35108" customFormat="1" customHeight="1" ht="11.25" hidden="1">
      <c r="A30" s="1083"/>
      <c r="B30" s="1128"/>
      <c r="C30" s="1128"/>
      <c r="D30" s="1632" t="s">
        <v>350</v>
      </c>
      <c r="E30" s="1633" t="s">
        <v>351</v>
      </c>
      <c r="F30" s="1641"/>
      <c r="G30" s="1634"/>
      <c r="J30" s="1127">
        <v>0</v>
      </c>
    </row>
    <row s="35108" customFormat="1" customHeight="1" ht="11.25" hidden="1">
      <c r="A31" s="1083"/>
      <c r="B31" s="1128"/>
      <c r="C31" s="1128"/>
      <c r="D31" s="1632" t="s">
        <v>352</v>
      </c>
      <c r="E31" s="1633" t="s">
        <v>353</v>
      </c>
      <c r="F31" s="1641"/>
      <c r="G31" s="1634"/>
      <c r="J31" s="1127">
        <v>0</v>
      </c>
    </row>
    <row s="35108" customFormat="1" customHeight="1" ht="11.25" hidden="1">
      <c r="A32" s="1083"/>
      <c r="B32" s="1128"/>
      <c r="C32" s="1128"/>
      <c r="D32" s="1632" t="s">
        <v>354</v>
      </c>
      <c r="E32" s="1633" t="s">
        <v>355</v>
      </c>
      <c r="F32" s="1642"/>
      <c r="G32" s="1634"/>
      <c r="J32" s="1127">
        <v>0</v>
      </c>
    </row>
    <row customHeight="1" ht="24">
      <c r="A33" s="1083" t="str">
        <f>IF(TEMPLATE_SPHERE="HEAT","6","5")</f>
        <v>6</v>
      </c>
      <c r="B33" s="1128"/>
      <c r="C33" s="1083"/>
      <c r="D33" s="1066" t="str">
        <f>A33</f>
        <v>6</v>
      </c>
      <c r="E33" s="106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069" t="s">
        <v>324</v>
      </c>
      <c r="G33" s="1100"/>
      <c r="H33" s="1101"/>
      <c r="J33" s="1081">
        <v>23</v>
      </c>
    </row>
    <row customHeight="1" ht="23.25">
      <c r="A34" s="1083"/>
      <c r="B34" s="1128"/>
      <c r="C34" s="1083"/>
      <c r="D34" s="1066" t="str">
        <f>D33&amp;".1"</f>
        <v>6.1</v>
      </c>
      <c r="E34" s="1068" t="str">
        <f>"фамилия"&amp;IF(TEMPLATE_SPHERE&lt;&gt;"HEAT"," руководителя","")</f>
        <v>фамилия</v>
      </c>
      <c r="F34" s="1067"/>
      <c r="G34" s="107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1101"/>
      <c r="J34" s="1081">
        <v>22</v>
      </c>
    </row>
    <row customHeight="1" ht="23.25">
      <c r="A35" s="1083"/>
      <c r="B35" s="1128"/>
      <c r="C35" s="1083"/>
      <c r="D35" s="1066" t="str">
        <f>D33&amp;".2"</f>
        <v>6.2</v>
      </c>
      <c r="E35" s="1068" t="str">
        <f>"имя"&amp;IF(TEMPLATE_SPHERE&lt;&gt;"HEAT"," руководителя","")</f>
        <v>имя</v>
      </c>
      <c r="F35" s="1067"/>
      <c r="G35" s="107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1101"/>
      <c r="J35" s="1081">
        <v>22</v>
      </c>
    </row>
    <row customHeight="1" ht="24">
      <c r="A36" s="1083"/>
      <c r="B36" s="1128"/>
      <c r="C36" s="1083"/>
      <c r="D36" s="1066" t="str">
        <f>D33&amp;".3"</f>
        <v>6.3</v>
      </c>
      <c r="E36" s="1068" t="str">
        <f>"отчество"&amp;IF(TEMPLATE_SPHERE&lt;&gt;"HEAT"," руководителя","")</f>
        <v>отчество</v>
      </c>
      <c r="F36" s="1324"/>
      <c r="G36" s="107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1101"/>
      <c r="J36" s="1081">
        <v>23</v>
      </c>
    </row>
    <row customHeight="1" ht="35.699999999999996">
      <c r="A37" s="1083"/>
      <c r="B37" s="1128"/>
      <c r="C37" s="1083"/>
      <c r="D37" s="1066">
        <f>D33+1</f>
        <v>7</v>
      </c>
      <c r="E37" s="106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1067"/>
      <c r="G37" s="1070" t="s">
        <v>356</v>
      </c>
      <c r="H37" s="1101"/>
      <c r="J37" s="1081">
        <v>34</v>
      </c>
    </row>
    <row customHeight="1" ht="35.699999999999996">
      <c r="A38" s="1083"/>
      <c r="B38" s="1128"/>
      <c r="C38" s="1083"/>
      <c r="D38" s="1066">
        <f>D37+1</f>
        <v>8</v>
      </c>
      <c r="E38" s="106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1067"/>
      <c r="G38" s="1070" t="s">
        <v>356</v>
      </c>
      <c r="H38" s="1101"/>
      <c r="J38" s="1081">
        <v>34</v>
      </c>
    </row>
    <row customHeight="1" ht="23.25">
      <c r="A39" s="1083"/>
      <c r="B39" s="1128"/>
      <c r="C39" s="1083"/>
      <c r="D39" s="1066">
        <f>D38+1</f>
        <v>9</v>
      </c>
      <c r="E39" s="106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069" t="s">
        <v>324</v>
      </c>
      <c r="G39" s="283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101"/>
      <c r="J39" s="1081">
        <v>22</v>
      </c>
    </row>
    <row customHeight="1" ht="22.5" hidden="1">
      <c r="A40" s="1083"/>
      <c r="B40" s="1128"/>
      <c r="C40" s="1083"/>
      <c r="D40" s="1066" t="str">
        <f>D39&amp;".0"</f>
        <v>9.0</v>
      </c>
      <c r="E40" s="2231"/>
      <c r="F40" s="1507"/>
      <c r="G40" s="2837"/>
      <c r="H40" s="1101"/>
      <c r="J40" s="1081">
        <v>0</v>
      </c>
    </row>
    <row customHeight="1" ht="23.25">
      <c r="A41" s="1083"/>
      <c r="B41" s="1083"/>
      <c r="C41" s="2314"/>
      <c r="D41" s="1066" t="str">
        <f>D39&amp;".1"</f>
        <v>9.1</v>
      </c>
      <c r="E41" s="1486"/>
      <c r="F41" s="1487"/>
      <c r="G41" s="2837"/>
      <c r="H41" s="1101"/>
      <c r="J41" s="1081">
        <v>22</v>
      </c>
    </row>
    <row customHeight="1" ht="15.75">
      <c r="A42" s="1083"/>
      <c r="B42" s="1128"/>
      <c r="C42" s="1083"/>
      <c r="D42" s="1093"/>
      <c r="E42" s="1041" t="s">
        <v>357</v>
      </c>
      <c r="F42" s="1095"/>
      <c r="G42" s="2838"/>
      <c r="H42" s="1102"/>
      <c r="J42" s="1081">
        <v>15</v>
      </c>
    </row>
    <row customHeight="1" ht="27.299999999999997">
      <c r="A43" s="1083"/>
      <c r="B43" s="1128"/>
      <c r="C43" s="1083"/>
      <c r="D43" s="1066">
        <f>D39+1</f>
        <v>10</v>
      </c>
      <c r="E43" s="106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488"/>
      <c r="G43" s="107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101"/>
      <c r="J43" s="1081">
        <v>26</v>
      </c>
    </row>
    <row customHeight="1" ht="23.25">
      <c r="A44" s="1083"/>
      <c r="B44" s="1128"/>
      <c r="C44" s="1083"/>
      <c r="D44" s="1066">
        <f>D43+1</f>
        <v>11</v>
      </c>
      <c r="E44" s="106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1004"/>
      <c r="G44" s="1100" t="s">
        <v>358</v>
      </c>
      <c r="H44" s="1101"/>
      <c r="J44" s="1081">
        <v>22</v>
      </c>
    </row>
    <row customHeight="1" ht="23.25">
      <c r="A45" s="1083"/>
      <c r="B45" s="1128"/>
      <c r="C45" s="1083"/>
      <c r="D45" s="1066">
        <f>D44+1</f>
        <v>12</v>
      </c>
      <c r="E45" s="1064" t="s">
        <v>359</v>
      </c>
      <c r="F45" s="1069" t="s">
        <v>324</v>
      </c>
      <c r="G45" s="1063" t="str">
        <f>IF(TEMPLATE_SPHERE="TKO","Указывается режим работы организации.","")</f>
        <v/>
      </c>
      <c r="H45" s="1101"/>
      <c r="J45" s="1081">
        <v>22</v>
      </c>
    </row>
    <row customHeight="1" ht="24">
      <c r="A46" s="1083"/>
      <c r="B46" s="1128"/>
      <c r="C46" s="1083"/>
      <c r="D46" s="1066" t="str">
        <f>D45&amp;".1"</f>
        <v>12.1</v>
      </c>
      <c r="E46" s="1068" t="str">
        <f>"режим работы регулируемой организации"&amp;IF(TEMPLATE_SPHERE="HEAT",", ЕТО, ТО","")</f>
        <v>режим работы регулируемой организации, ЕТО, ТО</v>
      </c>
      <c r="F46" s="2310"/>
      <c r="G46" s="1063" t="s">
        <v>360</v>
      </c>
      <c r="H46" s="1101"/>
      <c r="J46" s="1081">
        <v>23</v>
      </c>
    </row>
    <row customHeight="1" ht="24">
      <c r="A47" s="2828"/>
      <c r="B47" s="1128"/>
      <c r="C47" s="1118"/>
      <c r="D47" s="1066" t="str">
        <f>D45&amp;".2"</f>
        <v>12.2</v>
      </c>
      <c r="E47" s="1068" t="s">
        <v>361</v>
      </c>
      <c r="F47" s="1116"/>
      <c r="G47" s="1063" t="s">
        <v>362</v>
      </c>
      <c r="H47" s="1101"/>
      <c r="J47" s="1081">
        <v>23</v>
      </c>
    </row>
    <row customHeight="1" ht="24">
      <c r="A48" s="2828"/>
      <c r="B48" s="1128"/>
      <c r="C48" s="1118"/>
      <c r="D48" s="1066" t="str">
        <f>D45&amp;".3"</f>
        <v>12.3</v>
      </c>
      <c r="E48" s="1068" t="s">
        <v>363</v>
      </c>
      <c r="F48" s="1116"/>
      <c r="G48" s="1063" t="s">
        <v>364</v>
      </c>
      <c r="H48" s="1101"/>
      <c r="J48" s="1081">
        <v>23</v>
      </c>
    </row>
    <row customHeight="1" ht="24">
      <c r="A49" s="2828"/>
      <c r="B49" s="1128"/>
      <c r="C49" s="1118"/>
      <c r="D49" s="1066" t="str">
        <f>IF(TEMPLATE_SPHERE="TKO",D45&amp;".0",D45&amp;".4")</f>
        <v>12.4</v>
      </c>
      <c r="E49" s="1062" t="s">
        <v>365</v>
      </c>
      <c r="F49" s="2311"/>
      <c r="G49" s="2388" t="s">
        <v>366</v>
      </c>
      <c r="H49" s="1101"/>
      <c r="J49" s="1081">
        <v>23</v>
      </c>
    </row>
    <row customHeight="1" ht="24">
      <c r="A50" s="1083"/>
      <c r="B50" s="1128"/>
      <c r="C50" s="1083"/>
      <c r="D50" s="1093"/>
      <c r="E50" s="1041" t="s">
        <v>367</v>
      </c>
      <c r="F50" s="1094"/>
      <c r="G50" s="2388" t="s">
        <v>368</v>
      </c>
      <c r="H50" s="1102"/>
      <c r="J50" s="1081">
        <v>23</v>
      </c>
    </row>
    <row customHeight="1" ht="24">
      <c r="A51" s="1484"/>
      <c r="B51" s="1128"/>
      <c r="C51" s="1118"/>
      <c r="D51" s="1066">
        <f>D45+1</f>
        <v>13</v>
      </c>
      <c r="E51" s="1154" t="s">
        <v>369</v>
      </c>
      <c r="F51" s="1116"/>
      <c r="G51" s="23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1101"/>
      <c r="J51" s="1081">
        <v>23</v>
      </c>
    </row>
    <row customHeight="1" ht="11.549999999999999">
      <c r="A52" s="1083"/>
      <c r="B52" s="1128"/>
      <c r="C52" s="1083"/>
      <c r="J52" s="1081">
        <v>11</v>
      </c>
    </row>
    <row s="35138" customFormat="1" customHeight="1" ht="31.5">
      <c r="A53" s="2313"/>
      <c r="B53" s="1129"/>
      <c r="C53" s="2829"/>
      <c r="D53" s="283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832"/>
      <c r="F53" s="2832"/>
      <c r="G53" s="2832"/>
      <c r="H53" s="1080"/>
      <c r="I53" s="1080"/>
      <c r="J53" s="1086">
        <v>30</v>
      </c>
    </row>
    <row s="35138" customFormat="1" customHeight="1" ht="42">
      <c r="A54" s="1083"/>
      <c r="B54" s="1128"/>
      <c r="C54" s="2829"/>
      <c r="D54" s="283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832"/>
      <c r="F54" s="2832"/>
      <c r="G54" s="2832"/>
      <c r="J54" s="1086">
        <v>40</v>
      </c>
    </row>
    <row customHeight="1" ht="11.549999999999999">
      <c r="D55" s="1084"/>
      <c r="E55" s="1085"/>
      <c r="F55" s="1085"/>
      <c r="G55" s="1085"/>
      <c r="J55" s="1081">
        <v>11</v>
      </c>
    </row>
    <row customHeight="1" ht="28.5">
      <c r="D56" s="1087"/>
      <c r="E56" s="1084"/>
      <c r="F56" s="1096"/>
      <c r="G56" s="1096"/>
      <c r="J56" s="1081">
        <v>27</v>
      </c>
    </row>
    <row customHeight="1" ht="11.549999999999999">
      <c r="D57" s="1084"/>
      <c r="E57" s="1084"/>
      <c r="F57" s="1085"/>
      <c r="G57" s="1085"/>
      <c r="J57" s="1081">
        <v>11</v>
      </c>
    </row>
    <row customHeight="1" ht="40.949999999999996">
      <c r="D58" s="1088"/>
      <c r="E58" s="1097"/>
      <c r="F58" s="1097"/>
      <c r="G58" s="1097"/>
      <c r="J58" s="1081">
        <v>39</v>
      </c>
    </row>
    <row customHeight="1" ht="28.5">
      <c r="D59" s="1088"/>
      <c r="E59" s="1097"/>
      <c r="F59" s="1097"/>
      <c r="G59" s="1097"/>
      <c r="J59" s="1081">
        <v>27</v>
      </c>
    </row>
    <row customHeight="1" ht="11.25" hidden="1">
      <c r="A60" s="2312" t="s">
        <v>82</v>
      </c>
      <c r="B60" s="1127">
        <v>0</v>
      </c>
      <c r="C60" s="1081">
        <v>3</v>
      </c>
      <c r="D60" s="1082">
        <v>6</v>
      </c>
      <c r="E60" s="1081">
        <v>52</v>
      </c>
      <c r="F60" s="1081">
        <v>48</v>
      </c>
      <c r="G60" s="1081">
        <v>121</v>
      </c>
      <c r="H60" s="1081">
        <v>8</v>
      </c>
      <c r="I60" s="1081">
        <v>64</v>
      </c>
      <c r="J60" s="1081">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C8215E-EB8B-7C89-B4E7-02B9586D5C4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F93D2C-935B-ECF8-D044-11716DDB031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B02866-2A2B-9237-702D-62F28A587079}"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92"/>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00EB6A-0839-398E-AF2D-9C37F5C8E93D}" mc:Ignorable="x14ac xr xr2 xr3">
  <dimension ref="A1:E8"/>
  <sheetViews>
    <sheetView topLeftCell="A1" showGridLines="0" workbookViewId="0">
      <selection activeCell="A1" sqref="A1"/>
    </sheetView>
  </sheetViews>
  <sheetFormatPr customHeight="1" defaultRowHeight="11.25"/>
  <cols>
    <col min="1" max="1" style="37785" width="10.57421875" customWidth="1"/>
    <col min="2" max="2" style="37785" width="8.7109375" customWidth="1"/>
    <col min="3" max="3" style="37785" width="18.140625" customWidth="1"/>
    <col min="4" max="4" style="37785" width="12.57421875" customWidth="1"/>
  </cols>
  <sheetData>
    <row customHeight="1" ht="11.25">
      <c r="A1" s="3241" t="s">
        <v>2415</v>
      </c>
      <c r="B1" s="3242" t="s">
        <v>2416</v>
      </c>
      <c r="C1" s="3243" t="s">
        <v>2417</v>
      </c>
      <c r="D1" s="3244"/>
      <c r="E1" s="1462" t="s">
        <v>2418</v>
      </c>
    </row>
    <row customHeight="1" ht="11.25">
      <c r="A2" s="3245"/>
      <c r="B2" s="1391" t="s">
        <v>27</v>
      </c>
      <c r="C2" s="1379"/>
      <c r="D2" s="1390"/>
      <c r="E2" s="1462"/>
    </row>
    <row customHeight="1" ht="11.25">
      <c r="A3" s="3246"/>
      <c r="B3" s="3247" t="s">
        <v>33</v>
      </c>
      <c r="C3" s="1379"/>
      <c r="D3" s="1390"/>
      <c r="E3" s="1462"/>
    </row>
    <row customHeight="1" ht="11.25">
      <c r="A4" s="3248"/>
      <c r="B4" s="1392" t="s">
        <v>1840</v>
      </c>
      <c r="C4" s="1379"/>
      <c r="D4" s="1390"/>
      <c r="E4" s="1462"/>
    </row>
    <row customHeight="1" ht="11.25">
      <c r="A5" s="3249"/>
      <c r="B5" s="1392" t="s">
        <v>1834</v>
      </c>
      <c r="C5" s="3250" t="s">
        <v>2182</v>
      </c>
      <c r="D5" s="3251" t="s">
        <v>2419</v>
      </c>
      <c r="E5" s="1462"/>
    </row>
    <row s="34718" customFormat="1" customHeight="1" ht="11.25">
      <c r="A6" s="3252"/>
      <c r="B6" s="1392" t="s">
        <v>1844</v>
      </c>
      <c r="C6" s="1379"/>
      <c r="D6" s="1390"/>
      <c r="E6" s="1462"/>
    </row>
    <row customHeight="1" ht="11.25">
      <c r="A7" s="3253"/>
      <c r="B7" s="1392" t="s">
        <v>1852</v>
      </c>
      <c r="C7" s="1379"/>
      <c r="D7" s="1390"/>
      <c r="E7" s="1462"/>
    </row>
    <row customHeight="1" ht="11.25">
      <c r="A8" s="1382"/>
      <c r="B8" s="1392" t="s">
        <v>1847</v>
      </c>
      <c r="C8" s="1379"/>
      <c r="D8" s="1390"/>
      <c r="E8" s="1462"/>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1BB0F3-6A25-CE92-3118-D17E57CBF07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6D40F2-E851-A4B5-A949-5DC1F2314E1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FDDF46-35EA-6871-7A1B-09D5A77918E6}" mc:Ignorable="x14ac xr xr2 xr3">
  <sheetPr>
    <tabColor rgb="FFFFCC99"/>
  </sheetPr>
  <dimension ref="A1:I539"/>
  <sheetViews>
    <sheetView topLeftCell="A1" showGridLines="0" workbookViewId="0">
      <selection activeCell="A1" sqref="A1"/>
    </sheetView>
  </sheetViews>
  <sheetFormatPr defaultColWidth="9.140625" customHeight="1" defaultRowHeight="11.25"/>
  <cols>
    <col min="1" max="2" style="34718" width="9.140625"/>
    <col min="3" max="3" style="34718" width="20.7109375" customWidth="1"/>
    <col min="4" max="4" style="34718" width="25.140625" customWidth="1"/>
    <col min="5" max="9" style="34718" width="9.140625"/>
  </cols>
  <sheetData>
    <row customHeight="1" ht="11.25">
      <c r="A1" s="694" t="s">
        <v>2420</v>
      </c>
      <c r="B1" s="694" t="s">
        <v>2421</v>
      </c>
      <c r="C1" s="694" t="s">
        <v>2422</v>
      </c>
      <c r="D1" s="694" t="s">
        <v>2423</v>
      </c>
      <c r="E1" s="694" t="s">
        <v>2424</v>
      </c>
      <c r="F1" s="694" t="s">
        <v>2425</v>
      </c>
      <c r="G1" s="694" t="s">
        <v>2426</v>
      </c>
      <c r="H1" s="694" t="s">
        <v>2427</v>
      </c>
      <c r="I1" s="694" t="s">
        <v>2428</v>
      </c>
    </row>
    <row customHeight="1" ht="11.25">
      <c r="A2" s="4706" t="s">
        <v>2429</v>
      </c>
      <c r="B2" s="4706" t="s">
        <v>16</v>
      </c>
      <c r="C2" s="4706" t="s">
        <v>2430</v>
      </c>
      <c r="D2" s="4706" t="s">
        <v>2431</v>
      </c>
      <c r="E2" s="4706" t="s">
        <v>2432</v>
      </c>
      <c r="F2" s="4706" t="s">
        <v>2433</v>
      </c>
      <c r="G2" s="4706" t="s">
        <v>22</v>
      </c>
      <c r="H2" s="4706" t="s">
        <v>22</v>
      </c>
      <c r="I2" s="4706" t="s">
        <v>829</v>
      </c>
    </row>
    <row customHeight="1" ht="11.25">
      <c r="A3" s="4706" t="s">
        <v>2429</v>
      </c>
      <c r="B3" s="4706" t="s">
        <v>16</v>
      </c>
      <c r="C3" s="4706" t="s">
        <v>2434</v>
      </c>
      <c r="D3" s="4706" t="s">
        <v>2435</v>
      </c>
      <c r="E3" s="4706" t="s">
        <v>2436</v>
      </c>
      <c r="F3" s="4706" t="s">
        <v>2437</v>
      </c>
      <c r="G3" s="4706" t="s">
        <v>22</v>
      </c>
      <c r="H3" s="4706" t="s">
        <v>22</v>
      </c>
      <c r="I3" s="4706" t="s">
        <v>829</v>
      </c>
    </row>
    <row customHeight="1" ht="11.25">
      <c r="A4" s="4706" t="s">
        <v>2429</v>
      </c>
      <c r="B4" s="4706" t="s">
        <v>16</v>
      </c>
      <c r="C4" s="4706" t="s">
        <v>2438</v>
      </c>
      <c r="D4" s="4706" t="s">
        <v>2439</v>
      </c>
      <c r="E4" s="4706" t="s">
        <v>2440</v>
      </c>
      <c r="F4" s="4706" t="s">
        <v>2441</v>
      </c>
      <c r="G4" s="4706" t="s">
        <v>22</v>
      </c>
      <c r="H4" s="4706" t="s">
        <v>22</v>
      </c>
      <c r="I4" s="4706" t="s">
        <v>829</v>
      </c>
    </row>
    <row customHeight="1" ht="11.25">
      <c r="A5" s="4706" t="s">
        <v>2429</v>
      </c>
      <c r="B5" s="4706" t="s">
        <v>16</v>
      </c>
      <c r="C5" s="4706" t="s">
        <v>13</v>
      </c>
      <c r="D5" s="4706" t="s">
        <v>46</v>
      </c>
      <c r="E5" s="4706" t="s">
        <v>49</v>
      </c>
      <c r="F5" s="4706" t="s">
        <v>51</v>
      </c>
      <c r="G5" s="4706" t="s">
        <v>22</v>
      </c>
      <c r="H5" s="4706" t="s">
        <v>22</v>
      </c>
      <c r="I5" s="4706" t="s">
        <v>829</v>
      </c>
    </row>
    <row customHeight="1" ht="11.25">
      <c r="A6" s="4706" t="s">
        <v>2429</v>
      </c>
      <c r="B6" s="4706" t="s">
        <v>16</v>
      </c>
      <c r="C6" s="4706" t="s">
        <v>2442</v>
      </c>
      <c r="D6" s="4706" t="s">
        <v>46</v>
      </c>
      <c r="E6" s="4706" t="s">
        <v>49</v>
      </c>
      <c r="F6" s="4706" t="s">
        <v>2443</v>
      </c>
      <c r="G6" s="4706" t="s">
        <v>2444</v>
      </c>
      <c r="H6" s="4706" t="s">
        <v>22</v>
      </c>
      <c r="I6" s="4706" t="s">
        <v>829</v>
      </c>
    </row>
    <row customHeight="1" ht="11.25">
      <c r="A7" s="4706" t="s">
        <v>2429</v>
      </c>
      <c r="B7" s="4706" t="s">
        <v>16</v>
      </c>
      <c r="C7" s="4706" t="s">
        <v>2445</v>
      </c>
      <c r="D7" s="4706" t="s">
        <v>2446</v>
      </c>
      <c r="E7" s="4706" t="s">
        <v>49</v>
      </c>
      <c r="F7" s="4706" t="s">
        <v>2447</v>
      </c>
      <c r="G7" s="4706" t="s">
        <v>22</v>
      </c>
      <c r="H7" s="4706" t="s">
        <v>22</v>
      </c>
      <c r="I7" s="4706" t="s">
        <v>829</v>
      </c>
    </row>
    <row customHeight="1" ht="11.25">
      <c r="A8" s="4706" t="s">
        <v>2429</v>
      </c>
      <c r="B8" s="4706" t="s">
        <v>16</v>
      </c>
      <c r="C8" s="4706" t="s">
        <v>2448</v>
      </c>
      <c r="D8" s="4706" t="s">
        <v>2449</v>
      </c>
      <c r="E8" s="4706" t="s">
        <v>49</v>
      </c>
      <c r="F8" s="4706" t="s">
        <v>2450</v>
      </c>
      <c r="G8" s="4706" t="s">
        <v>22</v>
      </c>
      <c r="H8" s="4706" t="s">
        <v>22</v>
      </c>
      <c r="I8" s="4706" t="s">
        <v>829</v>
      </c>
    </row>
    <row customHeight="1" ht="11.25">
      <c r="A9" s="4706" t="s">
        <v>2429</v>
      </c>
      <c r="B9" s="4706" t="s">
        <v>16</v>
      </c>
      <c r="C9" s="4706" t="s">
        <v>2451</v>
      </c>
      <c r="D9" s="4706" t="s">
        <v>2452</v>
      </c>
      <c r="E9" s="4706" t="s">
        <v>49</v>
      </c>
      <c r="F9" s="4706" t="s">
        <v>2453</v>
      </c>
      <c r="G9" s="4706" t="s">
        <v>22</v>
      </c>
      <c r="H9" s="4706" t="s">
        <v>22</v>
      </c>
      <c r="I9" s="4706" t="s">
        <v>829</v>
      </c>
    </row>
    <row customHeight="1" ht="11.25">
      <c r="A10" s="4706" t="s">
        <v>2429</v>
      </c>
      <c r="B10" s="4706" t="s">
        <v>16</v>
      </c>
      <c r="C10" s="4706" t="s">
        <v>2454</v>
      </c>
      <c r="D10" s="4706" t="s">
        <v>2455</v>
      </c>
      <c r="E10" s="4706" t="s">
        <v>2456</v>
      </c>
      <c r="F10" s="4706" t="s">
        <v>2457</v>
      </c>
      <c r="G10" s="4706" t="s">
        <v>22</v>
      </c>
      <c r="H10" s="4706" t="s">
        <v>22</v>
      </c>
      <c r="I10" s="4706" t="s">
        <v>829</v>
      </c>
    </row>
    <row customHeight="1" ht="11.25">
      <c r="A11" s="4706" t="s">
        <v>2429</v>
      </c>
      <c r="B11" s="4706" t="s">
        <v>16</v>
      </c>
      <c r="C11" s="4706" t="s">
        <v>2458</v>
      </c>
      <c r="D11" s="4706" t="s">
        <v>2459</v>
      </c>
      <c r="E11" s="4706" t="s">
        <v>2460</v>
      </c>
      <c r="F11" s="4706" t="s">
        <v>2461</v>
      </c>
      <c r="G11" s="4706" t="s">
        <v>22</v>
      </c>
      <c r="H11" s="4706" t="s">
        <v>22</v>
      </c>
      <c r="I11" s="4706" t="s">
        <v>829</v>
      </c>
    </row>
    <row customHeight="1" ht="11.25">
      <c r="A12" s="4706" t="s">
        <v>2429</v>
      </c>
      <c r="B12" s="4706" t="s">
        <v>16</v>
      </c>
      <c r="C12" s="4706" t="s">
        <v>2462</v>
      </c>
      <c r="D12" s="4706" t="s">
        <v>2463</v>
      </c>
      <c r="E12" s="4706" t="s">
        <v>2464</v>
      </c>
      <c r="F12" s="4706" t="s">
        <v>2465</v>
      </c>
      <c r="G12" s="4706" t="s">
        <v>22</v>
      </c>
      <c r="H12" s="4706" t="s">
        <v>22</v>
      </c>
      <c r="I12" s="4706" t="s">
        <v>829</v>
      </c>
    </row>
    <row customHeight="1" ht="11.25">
      <c r="A13" s="4706" t="s">
        <v>2429</v>
      </c>
      <c r="B13" s="4706" t="s">
        <v>16</v>
      </c>
      <c r="C13" s="4706" t="s">
        <v>2466</v>
      </c>
      <c r="D13" s="4706" t="s">
        <v>2467</v>
      </c>
      <c r="E13" s="4706" t="s">
        <v>2468</v>
      </c>
      <c r="F13" s="4706" t="s">
        <v>2469</v>
      </c>
      <c r="G13" s="4706" t="s">
        <v>22</v>
      </c>
      <c r="H13" s="4706" t="s">
        <v>22</v>
      </c>
      <c r="I13" s="4706" t="s">
        <v>829</v>
      </c>
    </row>
    <row customHeight="1" ht="11.25">
      <c r="A14" s="4706" t="s">
        <v>2429</v>
      </c>
      <c r="B14" s="4706" t="s">
        <v>16</v>
      </c>
      <c r="C14" s="4706" t="s">
        <v>2470</v>
      </c>
      <c r="D14" s="4706" t="s">
        <v>2471</v>
      </c>
      <c r="E14" s="4706" t="s">
        <v>2472</v>
      </c>
      <c r="F14" s="4706" t="s">
        <v>2437</v>
      </c>
      <c r="G14" s="4706" t="s">
        <v>22</v>
      </c>
      <c r="H14" s="4706" t="s">
        <v>22</v>
      </c>
      <c r="I14" s="4706" t="s">
        <v>829</v>
      </c>
    </row>
    <row customHeight="1" ht="11.25">
      <c r="A15" s="4706" t="s">
        <v>2429</v>
      </c>
      <c r="B15" s="4706" t="s">
        <v>16</v>
      </c>
      <c r="C15" s="4706" t="s">
        <v>2473</v>
      </c>
      <c r="D15" s="4706" t="s">
        <v>2474</v>
      </c>
      <c r="E15" s="4706" t="s">
        <v>2475</v>
      </c>
      <c r="F15" s="4706" t="s">
        <v>2476</v>
      </c>
      <c r="G15" s="4706" t="s">
        <v>22</v>
      </c>
      <c r="H15" s="4706" t="s">
        <v>22</v>
      </c>
      <c r="I15" s="4706" t="s">
        <v>829</v>
      </c>
    </row>
    <row customHeight="1" ht="11.25">
      <c r="A16" s="4706" t="s">
        <v>2429</v>
      </c>
      <c r="B16" s="4706" t="s">
        <v>16</v>
      </c>
      <c r="C16" s="4706" t="s">
        <v>2477</v>
      </c>
      <c r="D16" s="4706" t="s">
        <v>2478</v>
      </c>
      <c r="E16" s="4706" t="s">
        <v>2479</v>
      </c>
      <c r="F16" s="4706" t="s">
        <v>2465</v>
      </c>
      <c r="G16" s="4706" t="s">
        <v>22</v>
      </c>
      <c r="H16" s="4706" t="s">
        <v>22</v>
      </c>
      <c r="I16" s="4706" t="s">
        <v>829</v>
      </c>
    </row>
    <row customHeight="1" ht="11.25">
      <c r="A17" s="4706" t="s">
        <v>2429</v>
      </c>
      <c r="B17" s="4706" t="s">
        <v>16</v>
      </c>
      <c r="C17" s="4706" t="s">
        <v>2480</v>
      </c>
      <c r="D17" s="4706" t="s">
        <v>2481</v>
      </c>
      <c r="E17" s="4706" t="s">
        <v>2482</v>
      </c>
      <c r="F17" s="4706" t="s">
        <v>2483</v>
      </c>
      <c r="G17" s="4706" t="s">
        <v>2484</v>
      </c>
      <c r="H17" s="4706" t="s">
        <v>22</v>
      </c>
      <c r="I17" s="4706" t="s">
        <v>829</v>
      </c>
    </row>
    <row customHeight="1" ht="11.25">
      <c r="A18" s="4706" t="s">
        <v>2429</v>
      </c>
      <c r="B18" s="4706" t="s">
        <v>16</v>
      </c>
      <c r="C18" s="4706" t="s">
        <v>2485</v>
      </c>
      <c r="D18" s="4706" t="s">
        <v>2486</v>
      </c>
      <c r="E18" s="4706" t="s">
        <v>2487</v>
      </c>
      <c r="F18" s="4706" t="s">
        <v>2488</v>
      </c>
      <c r="G18" s="4706" t="s">
        <v>22</v>
      </c>
      <c r="H18" s="4706" t="s">
        <v>22</v>
      </c>
      <c r="I18" s="4706" t="s">
        <v>829</v>
      </c>
    </row>
    <row customHeight="1" ht="11.25">
      <c r="A19" s="4706" t="s">
        <v>2429</v>
      </c>
      <c r="B19" s="4706" t="s">
        <v>16</v>
      </c>
      <c r="C19" s="4706" t="s">
        <v>2489</v>
      </c>
      <c r="D19" s="4706" t="s">
        <v>2490</v>
      </c>
      <c r="E19" s="4706" t="s">
        <v>2491</v>
      </c>
      <c r="F19" s="4706" t="s">
        <v>2437</v>
      </c>
      <c r="G19" s="4706" t="s">
        <v>22</v>
      </c>
      <c r="H19" s="4706" t="s">
        <v>22</v>
      </c>
      <c r="I19" s="4706" t="s">
        <v>829</v>
      </c>
    </row>
    <row customHeight="1" ht="11.25">
      <c r="A20" s="4706" t="s">
        <v>2429</v>
      </c>
      <c r="B20" s="4706" t="s">
        <v>16</v>
      </c>
      <c r="C20" s="4706" t="s">
        <v>2492</v>
      </c>
      <c r="D20" s="4706" t="s">
        <v>2493</v>
      </c>
      <c r="E20" s="4706" t="s">
        <v>2494</v>
      </c>
      <c r="F20" s="4706" t="s">
        <v>2437</v>
      </c>
      <c r="G20" s="4706" t="s">
        <v>22</v>
      </c>
      <c r="H20" s="4706" t="s">
        <v>22</v>
      </c>
      <c r="I20" s="4706" t="s">
        <v>829</v>
      </c>
    </row>
    <row customHeight="1" ht="11.25">
      <c r="A21" s="4706" t="s">
        <v>2429</v>
      </c>
      <c r="B21" s="4706" t="s">
        <v>16</v>
      </c>
      <c r="C21" s="4706" t="s">
        <v>2495</v>
      </c>
      <c r="D21" s="4706" t="s">
        <v>2496</v>
      </c>
      <c r="E21" s="4706" t="s">
        <v>2497</v>
      </c>
      <c r="F21" s="4706" t="s">
        <v>2461</v>
      </c>
      <c r="G21" s="4706" t="s">
        <v>22</v>
      </c>
      <c r="H21" s="4706" t="s">
        <v>22</v>
      </c>
      <c r="I21" s="4706" t="s">
        <v>829</v>
      </c>
    </row>
    <row customHeight="1" ht="11.25">
      <c r="A22" s="4706" t="s">
        <v>2429</v>
      </c>
      <c r="B22" s="4706" t="s">
        <v>16</v>
      </c>
      <c r="C22" s="4706" t="s">
        <v>2498</v>
      </c>
      <c r="D22" s="4706" t="s">
        <v>2499</v>
      </c>
      <c r="E22" s="4706" t="s">
        <v>2500</v>
      </c>
      <c r="F22" s="4706" t="s">
        <v>2465</v>
      </c>
      <c r="G22" s="4706" t="s">
        <v>22</v>
      </c>
      <c r="H22" s="4706" t="s">
        <v>22</v>
      </c>
      <c r="I22" s="4706" t="s">
        <v>829</v>
      </c>
    </row>
    <row customHeight="1" ht="11.25">
      <c r="A23" s="4706" t="s">
        <v>2429</v>
      </c>
      <c r="B23" s="4706" t="s">
        <v>16</v>
      </c>
      <c r="C23" s="4706" t="s">
        <v>2501</v>
      </c>
      <c r="D23" s="4706" t="s">
        <v>2502</v>
      </c>
      <c r="E23" s="4706" t="s">
        <v>2497</v>
      </c>
      <c r="F23" s="4706" t="s">
        <v>2503</v>
      </c>
      <c r="G23" s="4706" t="s">
        <v>22</v>
      </c>
      <c r="H23" s="4706" t="s">
        <v>22</v>
      </c>
      <c r="I23" s="4706" t="s">
        <v>829</v>
      </c>
    </row>
    <row customHeight="1" ht="11.25">
      <c r="A24" s="4706" t="s">
        <v>2429</v>
      </c>
      <c r="B24" s="4706" t="s">
        <v>16</v>
      </c>
      <c r="C24" s="4706" t="s">
        <v>2504</v>
      </c>
      <c r="D24" s="4706" t="s">
        <v>2505</v>
      </c>
      <c r="E24" s="4706" t="s">
        <v>2506</v>
      </c>
      <c r="F24" s="4706" t="s">
        <v>593</v>
      </c>
      <c r="G24" s="4706" t="s">
        <v>22</v>
      </c>
      <c r="H24" s="4706" t="s">
        <v>22</v>
      </c>
      <c r="I24" s="4706" t="s">
        <v>829</v>
      </c>
    </row>
    <row customHeight="1" ht="11.25">
      <c r="A25" s="4706" t="s">
        <v>2429</v>
      </c>
      <c r="B25" s="4706" t="s">
        <v>16</v>
      </c>
      <c r="C25" s="4706" t="s">
        <v>2507</v>
      </c>
      <c r="D25" s="4706" t="s">
        <v>2508</v>
      </c>
      <c r="E25" s="4706" t="s">
        <v>2509</v>
      </c>
      <c r="F25" s="4706" t="s">
        <v>593</v>
      </c>
      <c r="G25" s="4706" t="s">
        <v>22</v>
      </c>
      <c r="H25" s="4706" t="s">
        <v>22</v>
      </c>
      <c r="I25" s="4706" t="s">
        <v>829</v>
      </c>
    </row>
    <row customHeight="1" ht="11.25">
      <c r="A26" s="4706" t="s">
        <v>2429</v>
      </c>
      <c r="B26" s="4706" t="s">
        <v>16</v>
      </c>
      <c r="C26" s="4706" t="s">
        <v>2510</v>
      </c>
      <c r="D26" s="4706" t="s">
        <v>2511</v>
      </c>
      <c r="E26" s="4706" t="s">
        <v>2512</v>
      </c>
      <c r="F26" s="4706" t="s">
        <v>593</v>
      </c>
      <c r="G26" s="4706" t="s">
        <v>22</v>
      </c>
      <c r="H26" s="4706" t="s">
        <v>22</v>
      </c>
      <c r="I26" s="4706" t="s">
        <v>829</v>
      </c>
    </row>
    <row customHeight="1" ht="11.25">
      <c r="A27" s="4706" t="s">
        <v>2429</v>
      </c>
      <c r="B27" s="4706" t="s">
        <v>16</v>
      </c>
      <c r="C27" s="4706" t="s">
        <v>2513</v>
      </c>
      <c r="D27" s="4706" t="s">
        <v>2514</v>
      </c>
      <c r="E27" s="4706" t="s">
        <v>2515</v>
      </c>
      <c r="F27" s="4706" t="s">
        <v>2465</v>
      </c>
      <c r="G27" s="4706" t="s">
        <v>22</v>
      </c>
      <c r="H27" s="4706" t="s">
        <v>22</v>
      </c>
      <c r="I27" s="4706" t="s">
        <v>829</v>
      </c>
    </row>
    <row customHeight="1" ht="11.25">
      <c r="A28" s="4706" t="s">
        <v>2429</v>
      </c>
      <c r="B28" s="4706" t="s">
        <v>16</v>
      </c>
      <c r="C28" s="4706" t="s">
        <v>2516</v>
      </c>
      <c r="D28" s="4706" t="s">
        <v>2517</v>
      </c>
      <c r="E28" s="4706" t="s">
        <v>2518</v>
      </c>
      <c r="F28" s="4706" t="s">
        <v>2519</v>
      </c>
      <c r="G28" s="4706" t="s">
        <v>22</v>
      </c>
      <c r="H28" s="4706" t="s">
        <v>22</v>
      </c>
      <c r="I28" s="4706" t="s">
        <v>829</v>
      </c>
    </row>
    <row customHeight="1" ht="11.25">
      <c r="A29" s="4706" t="s">
        <v>2429</v>
      </c>
      <c r="B29" s="4706" t="s">
        <v>16</v>
      </c>
      <c r="C29" s="4706" t="s">
        <v>2520</v>
      </c>
      <c r="D29" s="4706" t="s">
        <v>2521</v>
      </c>
      <c r="E29" s="4706" t="s">
        <v>2522</v>
      </c>
      <c r="F29" s="4706" t="s">
        <v>2523</v>
      </c>
      <c r="G29" s="4706" t="s">
        <v>2524</v>
      </c>
      <c r="H29" s="4706" t="s">
        <v>22</v>
      </c>
      <c r="I29" s="4706" t="s">
        <v>829</v>
      </c>
    </row>
    <row customHeight="1" ht="11.25">
      <c r="A30" s="4706" t="s">
        <v>2429</v>
      </c>
      <c r="B30" s="4706" t="s">
        <v>16</v>
      </c>
      <c r="C30" s="4706" t="s">
        <v>2525</v>
      </c>
      <c r="D30" s="4706" t="s">
        <v>2526</v>
      </c>
      <c r="E30" s="4706" t="s">
        <v>2527</v>
      </c>
      <c r="F30" s="4706" t="s">
        <v>2528</v>
      </c>
      <c r="G30" s="4706" t="s">
        <v>22</v>
      </c>
      <c r="H30" s="4706" t="s">
        <v>22</v>
      </c>
      <c r="I30" s="4706" t="s">
        <v>829</v>
      </c>
    </row>
    <row customHeight="1" ht="11.25">
      <c r="A31" s="4706" t="s">
        <v>2429</v>
      </c>
      <c r="B31" s="4706" t="s">
        <v>16</v>
      </c>
      <c r="C31" s="4706" t="s">
        <v>2529</v>
      </c>
      <c r="D31" s="4706" t="s">
        <v>2530</v>
      </c>
      <c r="E31" s="4706" t="s">
        <v>2531</v>
      </c>
      <c r="F31" s="4706" t="s">
        <v>2532</v>
      </c>
      <c r="G31" s="4706" t="s">
        <v>22</v>
      </c>
      <c r="H31" s="4706" t="s">
        <v>22</v>
      </c>
      <c r="I31" s="4706" t="s">
        <v>829</v>
      </c>
    </row>
    <row customHeight="1" ht="11.25">
      <c r="A32" s="4706" t="s">
        <v>2429</v>
      </c>
      <c r="B32" s="4706" t="s">
        <v>16</v>
      </c>
      <c r="C32" s="4706" t="s">
        <v>2533</v>
      </c>
      <c r="D32" s="4706" t="s">
        <v>2534</v>
      </c>
      <c r="E32" s="4706" t="s">
        <v>2535</v>
      </c>
      <c r="F32" s="4706" t="s">
        <v>2488</v>
      </c>
      <c r="G32" s="4706" t="s">
        <v>22</v>
      </c>
      <c r="H32" s="4706" t="s">
        <v>22</v>
      </c>
      <c r="I32" s="4706" t="s">
        <v>829</v>
      </c>
    </row>
    <row customHeight="1" ht="11.25">
      <c r="A33" s="4706" t="s">
        <v>2429</v>
      </c>
      <c r="B33" s="4706" t="s">
        <v>16</v>
      </c>
      <c r="C33" s="4706" t="s">
        <v>2536</v>
      </c>
      <c r="D33" s="4706" t="s">
        <v>2537</v>
      </c>
      <c r="E33" s="4706" t="s">
        <v>2538</v>
      </c>
      <c r="F33" s="4706" t="s">
        <v>2488</v>
      </c>
      <c r="G33" s="4706" t="s">
        <v>22</v>
      </c>
      <c r="H33" s="4706" t="s">
        <v>22</v>
      </c>
      <c r="I33" s="4706" t="s">
        <v>829</v>
      </c>
    </row>
    <row customHeight="1" ht="11.25">
      <c r="A34" s="4706" t="s">
        <v>2429</v>
      </c>
      <c r="B34" s="4706" t="s">
        <v>16</v>
      </c>
      <c r="C34" s="4706" t="s">
        <v>2539</v>
      </c>
      <c r="D34" s="4706" t="s">
        <v>2540</v>
      </c>
      <c r="E34" s="4706" t="s">
        <v>2541</v>
      </c>
      <c r="F34" s="4706" t="s">
        <v>2528</v>
      </c>
      <c r="G34" s="4706" t="s">
        <v>22</v>
      </c>
      <c r="H34" s="4706" t="s">
        <v>22</v>
      </c>
      <c r="I34" s="4706" t="s">
        <v>829</v>
      </c>
    </row>
    <row customHeight="1" ht="11.25">
      <c r="A35" s="4706" t="s">
        <v>2429</v>
      </c>
      <c r="B35" s="4706" t="s">
        <v>16</v>
      </c>
      <c r="C35" s="4706" t="s">
        <v>2542</v>
      </c>
      <c r="D35" s="4706" t="s">
        <v>2543</v>
      </c>
      <c r="E35" s="4706" t="s">
        <v>2544</v>
      </c>
      <c r="F35" s="4706" t="s">
        <v>2461</v>
      </c>
      <c r="G35" s="4706" t="s">
        <v>22</v>
      </c>
      <c r="H35" s="4706" t="s">
        <v>22</v>
      </c>
      <c r="I35" s="4706" t="s">
        <v>829</v>
      </c>
    </row>
    <row customHeight="1" ht="11.25">
      <c r="A36" s="4706" t="s">
        <v>2429</v>
      </c>
      <c r="B36" s="4706" t="s">
        <v>16</v>
      </c>
      <c r="C36" s="4706" t="s">
        <v>2545</v>
      </c>
      <c r="D36" s="4706" t="s">
        <v>2546</v>
      </c>
      <c r="E36" s="4706" t="s">
        <v>2547</v>
      </c>
      <c r="F36" s="4706" t="s">
        <v>2548</v>
      </c>
      <c r="G36" s="4706" t="s">
        <v>22</v>
      </c>
      <c r="H36" s="4706" t="s">
        <v>22</v>
      </c>
      <c r="I36" s="4706" t="s">
        <v>829</v>
      </c>
    </row>
    <row customHeight="1" ht="11.25">
      <c r="A37" s="4706" t="s">
        <v>2429</v>
      </c>
      <c r="B37" s="4706" t="s">
        <v>16</v>
      </c>
      <c r="C37" s="4706" t="s">
        <v>2549</v>
      </c>
      <c r="D37" s="4706" t="s">
        <v>2550</v>
      </c>
      <c r="E37" s="4706" t="s">
        <v>2551</v>
      </c>
      <c r="F37" s="4706" t="s">
        <v>2548</v>
      </c>
      <c r="G37" s="4706" t="s">
        <v>22</v>
      </c>
      <c r="H37" s="4706" t="s">
        <v>22</v>
      </c>
      <c r="I37" s="4706" t="s">
        <v>829</v>
      </c>
    </row>
    <row customHeight="1" ht="11.25">
      <c r="A38" s="4706" t="s">
        <v>2429</v>
      </c>
      <c r="B38" s="4706" t="s">
        <v>16</v>
      </c>
      <c r="C38" s="4706" t="s">
        <v>2552</v>
      </c>
      <c r="D38" s="4706" t="s">
        <v>2553</v>
      </c>
      <c r="E38" s="4706" t="s">
        <v>2554</v>
      </c>
      <c r="F38" s="4706" t="s">
        <v>2555</v>
      </c>
      <c r="G38" s="4706" t="s">
        <v>22</v>
      </c>
      <c r="H38" s="4706" t="s">
        <v>22</v>
      </c>
      <c r="I38" s="4706" t="s">
        <v>829</v>
      </c>
    </row>
    <row customHeight="1" ht="11.25">
      <c r="A39" s="4706" t="s">
        <v>2429</v>
      </c>
      <c r="B39" s="4706" t="s">
        <v>16</v>
      </c>
      <c r="C39" s="4706" t="s">
        <v>2556</v>
      </c>
      <c r="D39" s="4706" t="s">
        <v>2557</v>
      </c>
      <c r="E39" s="4706" t="s">
        <v>2558</v>
      </c>
      <c r="F39" s="4706" t="s">
        <v>2488</v>
      </c>
      <c r="G39" s="4706" t="s">
        <v>2559</v>
      </c>
      <c r="H39" s="4706" t="s">
        <v>22</v>
      </c>
      <c r="I39" s="4706" t="s">
        <v>829</v>
      </c>
    </row>
    <row customHeight="1" ht="11.25">
      <c r="A40" s="4706" t="s">
        <v>2429</v>
      </c>
      <c r="B40" s="4706" t="s">
        <v>16</v>
      </c>
      <c r="C40" s="4706" t="s">
        <v>2560</v>
      </c>
      <c r="D40" s="4706" t="s">
        <v>2561</v>
      </c>
      <c r="E40" s="4706" t="s">
        <v>2562</v>
      </c>
      <c r="F40" s="4706" t="s">
        <v>2563</v>
      </c>
      <c r="G40" s="4706" t="s">
        <v>22</v>
      </c>
      <c r="H40" s="4706" t="s">
        <v>22</v>
      </c>
      <c r="I40" s="4706" t="s">
        <v>829</v>
      </c>
    </row>
    <row customHeight="1" ht="11.25">
      <c r="A41" s="4706" t="s">
        <v>2429</v>
      </c>
      <c r="B41" s="4706" t="s">
        <v>16</v>
      </c>
      <c r="C41" s="4706" t="s">
        <v>2564</v>
      </c>
      <c r="D41" s="4706" t="s">
        <v>2565</v>
      </c>
      <c r="E41" s="4706" t="s">
        <v>2566</v>
      </c>
      <c r="F41" s="4706" t="s">
        <v>2523</v>
      </c>
      <c r="G41" s="4706" t="s">
        <v>22</v>
      </c>
      <c r="H41" s="4706" t="s">
        <v>22</v>
      </c>
      <c r="I41" s="4706" t="s">
        <v>829</v>
      </c>
    </row>
    <row customHeight="1" ht="11.25">
      <c r="A42" s="4706" t="s">
        <v>2429</v>
      </c>
      <c r="B42" s="4706" t="s">
        <v>16</v>
      </c>
      <c r="C42" s="4706" t="s">
        <v>2567</v>
      </c>
      <c r="D42" s="4706" t="s">
        <v>2568</v>
      </c>
      <c r="E42" s="4706" t="s">
        <v>2569</v>
      </c>
      <c r="F42" s="4706" t="s">
        <v>2570</v>
      </c>
      <c r="G42" s="4706" t="s">
        <v>2571</v>
      </c>
      <c r="H42" s="4706" t="s">
        <v>2572</v>
      </c>
      <c r="I42" s="4706" t="s">
        <v>829</v>
      </c>
    </row>
    <row customHeight="1" ht="11.25">
      <c r="A43" s="4706" t="s">
        <v>2429</v>
      </c>
      <c r="B43" s="4706" t="s">
        <v>16</v>
      </c>
      <c r="C43" s="4706" t="s">
        <v>2573</v>
      </c>
      <c r="D43" s="4706" t="s">
        <v>2574</v>
      </c>
      <c r="E43" s="4706" t="s">
        <v>2575</v>
      </c>
      <c r="F43" s="4706" t="s">
        <v>2576</v>
      </c>
      <c r="G43" s="4706" t="s">
        <v>22</v>
      </c>
      <c r="H43" s="4706" t="s">
        <v>22</v>
      </c>
      <c r="I43" s="4706" t="s">
        <v>829</v>
      </c>
    </row>
    <row customHeight="1" ht="11.25">
      <c r="A44" s="4706" t="s">
        <v>2429</v>
      </c>
      <c r="B44" s="4706" t="s">
        <v>16</v>
      </c>
      <c r="C44" s="4706" t="s">
        <v>2577</v>
      </c>
      <c r="D44" s="4706" t="s">
        <v>2578</v>
      </c>
      <c r="E44" s="4706" t="s">
        <v>2579</v>
      </c>
      <c r="F44" s="4706" t="s">
        <v>2576</v>
      </c>
      <c r="G44" s="4706" t="s">
        <v>22</v>
      </c>
      <c r="H44" s="4706" t="s">
        <v>22</v>
      </c>
      <c r="I44" s="4706" t="s">
        <v>829</v>
      </c>
    </row>
    <row customHeight="1" ht="11.25">
      <c r="A45" s="4706" t="s">
        <v>2429</v>
      </c>
      <c r="B45" s="4706" t="s">
        <v>16</v>
      </c>
      <c r="C45" s="4706" t="s">
        <v>2580</v>
      </c>
      <c r="D45" s="4706" t="s">
        <v>2581</v>
      </c>
      <c r="E45" s="4706" t="s">
        <v>2582</v>
      </c>
      <c r="F45" s="4706" t="s">
        <v>2583</v>
      </c>
      <c r="G45" s="4706" t="s">
        <v>22</v>
      </c>
      <c r="H45" s="4706" t="s">
        <v>22</v>
      </c>
      <c r="I45" s="4706" t="s">
        <v>829</v>
      </c>
    </row>
    <row customHeight="1" ht="11.25">
      <c r="A46" s="4706" t="s">
        <v>2429</v>
      </c>
      <c r="B46" s="4706" t="s">
        <v>16</v>
      </c>
      <c r="C46" s="4706" t="s">
        <v>2584</v>
      </c>
      <c r="D46" s="4706" t="s">
        <v>2585</v>
      </c>
      <c r="E46" s="4706" t="s">
        <v>2586</v>
      </c>
      <c r="F46" s="4706" t="s">
        <v>2465</v>
      </c>
      <c r="G46" s="4706" t="s">
        <v>22</v>
      </c>
      <c r="H46" s="4706" t="s">
        <v>22</v>
      </c>
      <c r="I46" s="4706" t="s">
        <v>829</v>
      </c>
    </row>
    <row customHeight="1" ht="11.25">
      <c r="A47" s="4706" t="s">
        <v>2429</v>
      </c>
      <c r="B47" s="4706" t="s">
        <v>16</v>
      </c>
      <c r="C47" s="4706" t="s">
        <v>2587</v>
      </c>
      <c r="D47" s="4706" t="s">
        <v>2588</v>
      </c>
      <c r="E47" s="4706" t="s">
        <v>2589</v>
      </c>
      <c r="F47" s="4706" t="s">
        <v>2583</v>
      </c>
      <c r="G47" s="4706" t="s">
        <v>22</v>
      </c>
      <c r="H47" s="4706" t="s">
        <v>22</v>
      </c>
      <c r="I47" s="4706" t="s">
        <v>829</v>
      </c>
    </row>
    <row customHeight="1" ht="11.25">
      <c r="A48" s="4706" t="s">
        <v>2429</v>
      </c>
      <c r="B48" s="4706" t="s">
        <v>16</v>
      </c>
      <c r="C48" s="4706" t="s">
        <v>2590</v>
      </c>
      <c r="D48" s="4706" t="s">
        <v>2591</v>
      </c>
      <c r="E48" s="4706" t="s">
        <v>2592</v>
      </c>
      <c r="F48" s="4706" t="s">
        <v>2593</v>
      </c>
      <c r="G48" s="4706" t="s">
        <v>22</v>
      </c>
      <c r="H48" s="4706" t="s">
        <v>22</v>
      </c>
      <c r="I48" s="4706" t="s">
        <v>829</v>
      </c>
    </row>
    <row customHeight="1" ht="11.25">
      <c r="A49" s="4706" t="s">
        <v>2429</v>
      </c>
      <c r="B49" s="4706" t="s">
        <v>16</v>
      </c>
      <c r="C49" s="4706" t="s">
        <v>2594</v>
      </c>
      <c r="D49" s="4706" t="s">
        <v>2595</v>
      </c>
      <c r="E49" s="4706" t="s">
        <v>2596</v>
      </c>
      <c r="F49" s="4706" t="s">
        <v>2523</v>
      </c>
      <c r="G49" s="4706" t="s">
        <v>22</v>
      </c>
      <c r="H49" s="4706" t="s">
        <v>22</v>
      </c>
      <c r="I49" s="4706" t="s">
        <v>829</v>
      </c>
    </row>
    <row customHeight="1" ht="11.25">
      <c r="A50" s="4706" t="s">
        <v>2429</v>
      </c>
      <c r="B50" s="4706" t="s">
        <v>16</v>
      </c>
      <c r="C50" s="4706" t="s">
        <v>2597</v>
      </c>
      <c r="D50" s="4706" t="s">
        <v>2598</v>
      </c>
      <c r="E50" s="4706" t="s">
        <v>2599</v>
      </c>
      <c r="F50" s="4706" t="s">
        <v>2523</v>
      </c>
      <c r="G50" s="4706" t="s">
        <v>22</v>
      </c>
      <c r="H50" s="4706" t="s">
        <v>22</v>
      </c>
      <c r="I50" s="4706" t="s">
        <v>829</v>
      </c>
    </row>
    <row customHeight="1" ht="11.25">
      <c r="A51" s="4706" t="s">
        <v>2429</v>
      </c>
      <c r="B51" s="4706" t="s">
        <v>16</v>
      </c>
      <c r="C51" s="4706" t="s">
        <v>2600</v>
      </c>
      <c r="D51" s="4706" t="s">
        <v>2601</v>
      </c>
      <c r="E51" s="4706" t="s">
        <v>2602</v>
      </c>
      <c r="F51" s="4706" t="s">
        <v>2437</v>
      </c>
      <c r="G51" s="4706" t="s">
        <v>22</v>
      </c>
      <c r="H51" s="4706" t="s">
        <v>22</v>
      </c>
      <c r="I51" s="4706" t="s">
        <v>829</v>
      </c>
    </row>
    <row customHeight="1" ht="11.25">
      <c r="A52" s="4706" t="s">
        <v>2429</v>
      </c>
      <c r="B52" s="4706" t="s">
        <v>16</v>
      </c>
      <c r="C52" s="4706" t="s">
        <v>2603</v>
      </c>
      <c r="D52" s="4706" t="s">
        <v>2604</v>
      </c>
      <c r="E52" s="4706" t="s">
        <v>2605</v>
      </c>
      <c r="F52" s="4706" t="s">
        <v>2461</v>
      </c>
      <c r="G52" s="4706" t="s">
        <v>22</v>
      </c>
      <c r="H52" s="4706" t="s">
        <v>22</v>
      </c>
      <c r="I52" s="4706" t="s">
        <v>829</v>
      </c>
    </row>
    <row customHeight="1" ht="11.25">
      <c r="A53" s="4706" t="s">
        <v>2429</v>
      </c>
      <c r="B53" s="4706" t="s">
        <v>16</v>
      </c>
      <c r="C53" s="4706" t="s">
        <v>2606</v>
      </c>
      <c r="D53" s="4706" t="s">
        <v>2607</v>
      </c>
      <c r="E53" s="4706" t="s">
        <v>2608</v>
      </c>
      <c r="F53" s="4706" t="s">
        <v>2437</v>
      </c>
      <c r="G53" s="4706" t="s">
        <v>22</v>
      </c>
      <c r="H53" s="4706" t="s">
        <v>22</v>
      </c>
      <c r="I53" s="4706" t="s">
        <v>829</v>
      </c>
    </row>
    <row customHeight="1" ht="11.25">
      <c r="A54" s="4706" t="s">
        <v>2429</v>
      </c>
      <c r="B54" s="4706" t="s">
        <v>16</v>
      </c>
      <c r="C54" s="4706" t="s">
        <v>2609</v>
      </c>
      <c r="D54" s="4706" t="s">
        <v>2610</v>
      </c>
      <c r="E54" s="4706" t="s">
        <v>2611</v>
      </c>
      <c r="F54" s="4706" t="s">
        <v>2437</v>
      </c>
      <c r="G54" s="4706" t="s">
        <v>22</v>
      </c>
      <c r="H54" s="4706" t="s">
        <v>22</v>
      </c>
      <c r="I54" s="4706" t="s">
        <v>829</v>
      </c>
    </row>
    <row customHeight="1" ht="11.25">
      <c r="A55" s="4706" t="s">
        <v>2429</v>
      </c>
      <c r="B55" s="4706" t="s">
        <v>16</v>
      </c>
      <c r="C55" s="4706" t="s">
        <v>2612</v>
      </c>
      <c r="D55" s="4706" t="s">
        <v>2613</v>
      </c>
      <c r="E55" s="4706" t="s">
        <v>2614</v>
      </c>
      <c r="F55" s="4706" t="s">
        <v>2437</v>
      </c>
      <c r="G55" s="4706" t="s">
        <v>22</v>
      </c>
      <c r="H55" s="4706" t="s">
        <v>22</v>
      </c>
      <c r="I55" s="4706" t="s">
        <v>829</v>
      </c>
    </row>
    <row customHeight="1" ht="11.25">
      <c r="A56" s="4706" t="s">
        <v>2429</v>
      </c>
      <c r="B56" s="4706" t="s">
        <v>16</v>
      </c>
      <c r="C56" s="4706" t="s">
        <v>2615</v>
      </c>
      <c r="D56" s="4706" t="s">
        <v>2616</v>
      </c>
      <c r="E56" s="4706" t="s">
        <v>2617</v>
      </c>
      <c r="F56" s="4706" t="s">
        <v>2437</v>
      </c>
      <c r="G56" s="4706" t="s">
        <v>22</v>
      </c>
      <c r="H56" s="4706" t="s">
        <v>22</v>
      </c>
      <c r="I56" s="4706" t="s">
        <v>829</v>
      </c>
    </row>
    <row customHeight="1" ht="11.25">
      <c r="A57" s="4706" t="s">
        <v>2429</v>
      </c>
      <c r="B57" s="4706" t="s">
        <v>16</v>
      </c>
      <c r="C57" s="4706" t="s">
        <v>2618</v>
      </c>
      <c r="D57" s="4706" t="s">
        <v>2619</v>
      </c>
      <c r="E57" s="4706" t="s">
        <v>2620</v>
      </c>
      <c r="F57" s="4706" t="s">
        <v>2441</v>
      </c>
      <c r="G57" s="4706" t="s">
        <v>22</v>
      </c>
      <c r="H57" s="4706" t="s">
        <v>22</v>
      </c>
      <c r="I57" s="4706" t="s">
        <v>829</v>
      </c>
    </row>
    <row customHeight="1" ht="11.25">
      <c r="A58" s="4706" t="s">
        <v>2429</v>
      </c>
      <c r="B58" s="4706" t="s">
        <v>16</v>
      </c>
      <c r="C58" s="4706" t="s">
        <v>2621</v>
      </c>
      <c r="D58" s="4706" t="s">
        <v>2622</v>
      </c>
      <c r="E58" s="4706" t="s">
        <v>2623</v>
      </c>
      <c r="F58" s="4706" t="s">
        <v>2624</v>
      </c>
      <c r="G58" s="4706" t="s">
        <v>22</v>
      </c>
      <c r="H58" s="4706" t="s">
        <v>22</v>
      </c>
      <c r="I58" s="4706" t="s">
        <v>829</v>
      </c>
    </row>
    <row customHeight="1" ht="11.25">
      <c r="A59" s="4706" t="s">
        <v>2429</v>
      </c>
      <c r="B59" s="4706" t="s">
        <v>16</v>
      </c>
      <c r="C59" s="4706" t="s">
        <v>2625</v>
      </c>
      <c r="D59" s="4706" t="s">
        <v>2626</v>
      </c>
      <c r="E59" s="4706" t="s">
        <v>2627</v>
      </c>
      <c r="F59" s="4706" t="s">
        <v>2437</v>
      </c>
      <c r="G59" s="4706" t="s">
        <v>22</v>
      </c>
      <c r="H59" s="4706" t="s">
        <v>22</v>
      </c>
      <c r="I59" s="4706" t="s">
        <v>829</v>
      </c>
    </row>
    <row customHeight="1" ht="11.25">
      <c r="A60" s="4706" t="s">
        <v>2429</v>
      </c>
      <c r="B60" s="4706" t="s">
        <v>16</v>
      </c>
      <c r="C60" s="4706" t="s">
        <v>2628</v>
      </c>
      <c r="D60" s="4706" t="s">
        <v>2629</v>
      </c>
      <c r="E60" s="4706" t="s">
        <v>2630</v>
      </c>
      <c r="F60" s="4706" t="s">
        <v>2437</v>
      </c>
      <c r="G60" s="4706" t="s">
        <v>22</v>
      </c>
      <c r="H60" s="4706" t="s">
        <v>22</v>
      </c>
      <c r="I60" s="4706" t="s">
        <v>829</v>
      </c>
    </row>
    <row customHeight="1" ht="11.25">
      <c r="A61" s="4706" t="s">
        <v>2429</v>
      </c>
      <c r="B61" s="4706" t="s">
        <v>16</v>
      </c>
      <c r="C61" s="4706" t="s">
        <v>2631</v>
      </c>
      <c r="D61" s="4706" t="s">
        <v>2632</v>
      </c>
      <c r="E61" s="4706" t="s">
        <v>2633</v>
      </c>
      <c r="F61" s="4706" t="s">
        <v>2437</v>
      </c>
      <c r="G61" s="4706" t="s">
        <v>22</v>
      </c>
      <c r="H61" s="4706" t="s">
        <v>22</v>
      </c>
      <c r="I61" s="4706" t="s">
        <v>829</v>
      </c>
    </row>
    <row customHeight="1" ht="11.25">
      <c r="A62" s="4706" t="s">
        <v>2429</v>
      </c>
      <c r="B62" s="4706" t="s">
        <v>16</v>
      </c>
      <c r="C62" s="4706" t="s">
        <v>2634</v>
      </c>
      <c r="D62" s="4706" t="s">
        <v>2635</v>
      </c>
      <c r="E62" s="4706" t="s">
        <v>2636</v>
      </c>
      <c r="F62" s="4706" t="s">
        <v>2437</v>
      </c>
      <c r="G62" s="4706" t="s">
        <v>22</v>
      </c>
      <c r="H62" s="4706" t="s">
        <v>22</v>
      </c>
      <c r="I62" s="4706" t="s">
        <v>829</v>
      </c>
    </row>
    <row customHeight="1" ht="11.25">
      <c r="A63" s="4706" t="s">
        <v>2429</v>
      </c>
      <c r="B63" s="4706" t="s">
        <v>16</v>
      </c>
      <c r="C63" s="4706" t="s">
        <v>2637</v>
      </c>
      <c r="D63" s="4706" t="s">
        <v>2638</v>
      </c>
      <c r="E63" s="4706" t="s">
        <v>2639</v>
      </c>
      <c r="F63" s="4706" t="s">
        <v>2624</v>
      </c>
      <c r="G63" s="4706" t="s">
        <v>22</v>
      </c>
      <c r="H63" s="4706" t="s">
        <v>22</v>
      </c>
      <c r="I63" s="4706" t="s">
        <v>829</v>
      </c>
    </row>
    <row customHeight="1" ht="11.25">
      <c r="A64" s="4706" t="s">
        <v>2429</v>
      </c>
      <c r="B64" s="4706" t="s">
        <v>16</v>
      </c>
      <c r="C64" s="4706" t="s">
        <v>2640</v>
      </c>
      <c r="D64" s="4706" t="s">
        <v>2641</v>
      </c>
      <c r="E64" s="4706" t="s">
        <v>2642</v>
      </c>
      <c r="F64" s="4706" t="s">
        <v>2643</v>
      </c>
      <c r="G64" s="4706" t="s">
        <v>22</v>
      </c>
      <c r="H64" s="4706" t="s">
        <v>22</v>
      </c>
      <c r="I64" s="4706" t="s">
        <v>829</v>
      </c>
    </row>
    <row customHeight="1" ht="11.25">
      <c r="A65" s="4706" t="s">
        <v>2429</v>
      </c>
      <c r="B65" s="4706" t="s">
        <v>16</v>
      </c>
      <c r="C65" s="4706" t="s">
        <v>2644</v>
      </c>
      <c r="D65" s="4706" t="s">
        <v>2645</v>
      </c>
      <c r="E65" s="4706" t="s">
        <v>2646</v>
      </c>
      <c r="F65" s="4706" t="s">
        <v>2643</v>
      </c>
      <c r="G65" s="4706" t="s">
        <v>22</v>
      </c>
      <c r="H65" s="4706" t="s">
        <v>22</v>
      </c>
      <c r="I65" s="4706" t="s">
        <v>829</v>
      </c>
    </row>
    <row customHeight="1" ht="11.25">
      <c r="A66" s="4706" t="s">
        <v>2429</v>
      </c>
      <c r="B66" s="4706" t="s">
        <v>16</v>
      </c>
      <c r="C66" s="4706" t="s">
        <v>2647</v>
      </c>
      <c r="D66" s="4706" t="s">
        <v>2648</v>
      </c>
      <c r="E66" s="4706" t="s">
        <v>2649</v>
      </c>
      <c r="F66" s="4706" t="s">
        <v>2437</v>
      </c>
      <c r="G66" s="4706" t="s">
        <v>2650</v>
      </c>
      <c r="H66" s="4706" t="s">
        <v>22</v>
      </c>
      <c r="I66" s="4706" t="s">
        <v>829</v>
      </c>
    </row>
    <row customHeight="1" ht="11.25">
      <c r="A67" s="4706" t="s">
        <v>2429</v>
      </c>
      <c r="B67" s="4706" t="s">
        <v>16</v>
      </c>
      <c r="C67" s="4706" t="s">
        <v>2651</v>
      </c>
      <c r="D67" s="4706" t="s">
        <v>2652</v>
      </c>
      <c r="E67" s="4706" t="s">
        <v>2653</v>
      </c>
      <c r="F67" s="4706" t="s">
        <v>2437</v>
      </c>
      <c r="G67" s="4706" t="s">
        <v>22</v>
      </c>
      <c r="H67" s="4706" t="s">
        <v>22</v>
      </c>
      <c r="I67" s="4706" t="s">
        <v>829</v>
      </c>
    </row>
    <row customHeight="1" ht="11.25">
      <c r="A68" s="4706" t="s">
        <v>2429</v>
      </c>
      <c r="B68" s="4706" t="s">
        <v>16</v>
      </c>
      <c r="C68" s="4706" t="s">
        <v>2654</v>
      </c>
      <c r="D68" s="4706" t="s">
        <v>2655</v>
      </c>
      <c r="E68" s="4706" t="s">
        <v>2656</v>
      </c>
      <c r="F68" s="4706" t="s">
        <v>2437</v>
      </c>
      <c r="G68" s="4706" t="s">
        <v>22</v>
      </c>
      <c r="H68" s="4706" t="s">
        <v>22</v>
      </c>
      <c r="I68" s="4706" t="s">
        <v>829</v>
      </c>
    </row>
    <row customHeight="1" ht="11.25">
      <c r="A69" s="4706" t="s">
        <v>2429</v>
      </c>
      <c r="B69" s="4706" t="s">
        <v>16</v>
      </c>
      <c r="C69" s="4706" t="s">
        <v>2657</v>
      </c>
      <c r="D69" s="4706" t="s">
        <v>2658</v>
      </c>
      <c r="E69" s="4706" t="s">
        <v>2659</v>
      </c>
      <c r="F69" s="4706" t="s">
        <v>2555</v>
      </c>
      <c r="G69" s="4706" t="s">
        <v>22</v>
      </c>
      <c r="H69" s="4706" t="s">
        <v>22</v>
      </c>
      <c r="I69" s="4706" t="s">
        <v>829</v>
      </c>
    </row>
    <row customHeight="1" ht="11.25">
      <c r="A70" s="4706" t="s">
        <v>2429</v>
      </c>
      <c r="B70" s="4706" t="s">
        <v>16</v>
      </c>
      <c r="C70" s="4706" t="s">
        <v>2660</v>
      </c>
      <c r="D70" s="4706" t="s">
        <v>2661</v>
      </c>
      <c r="E70" s="4706" t="s">
        <v>2662</v>
      </c>
      <c r="F70" s="4706" t="s">
        <v>2563</v>
      </c>
      <c r="G70" s="4706" t="s">
        <v>22</v>
      </c>
      <c r="H70" s="4706" t="s">
        <v>22</v>
      </c>
      <c r="I70" s="4706" t="s">
        <v>829</v>
      </c>
    </row>
    <row customHeight="1" ht="11.25">
      <c r="A71" s="4706" t="s">
        <v>2429</v>
      </c>
      <c r="B71" s="4706" t="s">
        <v>16</v>
      </c>
      <c r="C71" s="4706" t="s">
        <v>2663</v>
      </c>
      <c r="D71" s="4706" t="s">
        <v>2664</v>
      </c>
      <c r="E71" s="4706" t="s">
        <v>2665</v>
      </c>
      <c r="F71" s="4706" t="s">
        <v>2666</v>
      </c>
      <c r="G71" s="4706" t="s">
        <v>2667</v>
      </c>
      <c r="H71" s="4706" t="s">
        <v>22</v>
      </c>
      <c r="I71" s="4706" t="s">
        <v>829</v>
      </c>
    </row>
    <row customHeight="1" ht="11.25">
      <c r="A72" s="4706" t="s">
        <v>2429</v>
      </c>
      <c r="B72" s="4706" t="s">
        <v>16</v>
      </c>
      <c r="C72" s="4706" t="s">
        <v>2668</v>
      </c>
      <c r="D72" s="4706" t="s">
        <v>2669</v>
      </c>
      <c r="E72" s="4706" t="s">
        <v>2670</v>
      </c>
      <c r="F72" s="4706" t="s">
        <v>2666</v>
      </c>
      <c r="G72" s="4706" t="s">
        <v>22</v>
      </c>
      <c r="H72" s="4706" t="s">
        <v>22</v>
      </c>
      <c r="I72" s="4706" t="s">
        <v>829</v>
      </c>
    </row>
    <row customHeight="1" ht="11.25">
      <c r="A73" s="4706" t="s">
        <v>2429</v>
      </c>
      <c r="B73" s="4706" t="s">
        <v>16</v>
      </c>
      <c r="C73" s="4706" t="s">
        <v>2671</v>
      </c>
      <c r="D73" s="4706" t="s">
        <v>2672</v>
      </c>
      <c r="E73" s="4706" t="s">
        <v>2673</v>
      </c>
      <c r="F73" s="4706" t="s">
        <v>2563</v>
      </c>
      <c r="G73" s="4706" t="s">
        <v>22</v>
      </c>
      <c r="H73" s="4706" t="s">
        <v>22</v>
      </c>
      <c r="I73" s="4706" t="s">
        <v>829</v>
      </c>
    </row>
    <row customHeight="1" ht="11.25">
      <c r="A74" s="4706" t="s">
        <v>2429</v>
      </c>
      <c r="B74" s="4706" t="s">
        <v>16</v>
      </c>
      <c r="C74" s="4706" t="s">
        <v>2674</v>
      </c>
      <c r="D74" s="4706" t="s">
        <v>2675</v>
      </c>
      <c r="E74" s="4706" t="s">
        <v>2676</v>
      </c>
      <c r="F74" s="4706" t="s">
        <v>2437</v>
      </c>
      <c r="G74" s="4706" t="s">
        <v>22</v>
      </c>
      <c r="H74" s="4706" t="s">
        <v>22</v>
      </c>
      <c r="I74" s="4706" t="s">
        <v>829</v>
      </c>
    </row>
    <row customHeight="1" ht="11.25">
      <c r="A75" s="4706" t="s">
        <v>2429</v>
      </c>
      <c r="B75" s="4706" t="s">
        <v>16</v>
      </c>
      <c r="C75" s="4706" t="s">
        <v>2677</v>
      </c>
      <c r="D75" s="4706" t="s">
        <v>2678</v>
      </c>
      <c r="E75" s="4706" t="s">
        <v>2679</v>
      </c>
      <c r="F75" s="4706" t="s">
        <v>2465</v>
      </c>
      <c r="G75" s="4706" t="s">
        <v>22</v>
      </c>
      <c r="H75" s="4706" t="s">
        <v>22</v>
      </c>
      <c r="I75" s="4706" t="s">
        <v>829</v>
      </c>
    </row>
    <row customHeight="1" ht="11.25">
      <c r="A76" s="4706" t="s">
        <v>2429</v>
      </c>
      <c r="B76" s="4706" t="s">
        <v>16</v>
      </c>
      <c r="C76" s="4706" t="s">
        <v>2680</v>
      </c>
      <c r="D76" s="4706" t="s">
        <v>2681</v>
      </c>
      <c r="E76" s="4706" t="s">
        <v>2682</v>
      </c>
      <c r="F76" s="4706" t="s">
        <v>2465</v>
      </c>
      <c r="G76" s="4706" t="s">
        <v>2683</v>
      </c>
      <c r="H76" s="4706" t="s">
        <v>22</v>
      </c>
      <c r="I76" s="4706" t="s">
        <v>829</v>
      </c>
    </row>
    <row customHeight="1" ht="11.25">
      <c r="A77" s="4706" t="s">
        <v>2429</v>
      </c>
      <c r="B77" s="4706" t="s">
        <v>16</v>
      </c>
      <c r="C77" s="4706" t="s">
        <v>2684</v>
      </c>
      <c r="D77" s="4706" t="s">
        <v>2685</v>
      </c>
      <c r="E77" s="4706" t="s">
        <v>2686</v>
      </c>
      <c r="F77" s="4706" t="s">
        <v>2523</v>
      </c>
      <c r="G77" s="4706" t="s">
        <v>22</v>
      </c>
      <c r="H77" s="4706" t="s">
        <v>22</v>
      </c>
      <c r="I77" s="4706" t="s">
        <v>829</v>
      </c>
    </row>
    <row customHeight="1" ht="11.25">
      <c r="A78" s="4706" t="s">
        <v>2429</v>
      </c>
      <c r="B78" s="4706" t="s">
        <v>16</v>
      </c>
      <c r="C78" s="4706" t="s">
        <v>2687</v>
      </c>
      <c r="D78" s="4706" t="s">
        <v>2688</v>
      </c>
      <c r="E78" s="4706" t="s">
        <v>2689</v>
      </c>
      <c r="F78" s="4706" t="s">
        <v>2437</v>
      </c>
      <c r="G78" s="4706" t="s">
        <v>22</v>
      </c>
      <c r="H78" s="4706" t="s">
        <v>22</v>
      </c>
      <c r="I78" s="4706" t="s">
        <v>829</v>
      </c>
    </row>
    <row customHeight="1" ht="11.25">
      <c r="A79" s="4706" t="s">
        <v>2429</v>
      </c>
      <c r="B79" s="4706" t="s">
        <v>16</v>
      </c>
      <c r="C79" s="4706" t="s">
        <v>2690</v>
      </c>
      <c r="D79" s="4706" t="s">
        <v>2691</v>
      </c>
      <c r="E79" s="4706" t="s">
        <v>2692</v>
      </c>
      <c r="F79" s="4706" t="s">
        <v>2437</v>
      </c>
      <c r="G79" s="4706" t="s">
        <v>22</v>
      </c>
      <c r="H79" s="4706" t="s">
        <v>22</v>
      </c>
      <c r="I79" s="4706" t="s">
        <v>829</v>
      </c>
    </row>
    <row customHeight="1" ht="11.25">
      <c r="A80" s="4706" t="s">
        <v>2429</v>
      </c>
      <c r="B80" s="4706" t="s">
        <v>16</v>
      </c>
      <c r="C80" s="4706" t="s">
        <v>2693</v>
      </c>
      <c r="D80" s="4706" t="s">
        <v>2694</v>
      </c>
      <c r="E80" s="4706" t="s">
        <v>2695</v>
      </c>
      <c r="F80" s="4706" t="s">
        <v>2437</v>
      </c>
      <c r="G80" s="4706" t="s">
        <v>22</v>
      </c>
      <c r="H80" s="4706" t="s">
        <v>22</v>
      </c>
      <c r="I80" s="4706" t="s">
        <v>829</v>
      </c>
    </row>
    <row customHeight="1" ht="11.25">
      <c r="A81" s="4706" t="s">
        <v>2429</v>
      </c>
      <c r="B81" s="4706" t="s">
        <v>16</v>
      </c>
      <c r="C81" s="4706" t="s">
        <v>2696</v>
      </c>
      <c r="D81" s="4706" t="s">
        <v>2697</v>
      </c>
      <c r="E81" s="4706" t="s">
        <v>2698</v>
      </c>
      <c r="F81" s="4706" t="s">
        <v>2528</v>
      </c>
      <c r="G81" s="4706" t="s">
        <v>2699</v>
      </c>
      <c r="H81" s="4706" t="s">
        <v>22</v>
      </c>
      <c r="I81" s="4706" t="s">
        <v>829</v>
      </c>
    </row>
    <row customHeight="1" ht="11.25">
      <c r="A82" s="4706" t="s">
        <v>2429</v>
      </c>
      <c r="B82" s="4706" t="s">
        <v>16</v>
      </c>
      <c r="C82" s="4706" t="s">
        <v>2700</v>
      </c>
      <c r="D82" s="4706" t="s">
        <v>2701</v>
      </c>
      <c r="E82" s="4706" t="s">
        <v>2702</v>
      </c>
      <c r="F82" s="4706" t="s">
        <v>2437</v>
      </c>
      <c r="G82" s="4706" t="s">
        <v>22</v>
      </c>
      <c r="H82" s="4706" t="s">
        <v>22</v>
      </c>
      <c r="I82" s="4706" t="s">
        <v>829</v>
      </c>
    </row>
    <row customHeight="1" ht="11.25">
      <c r="A83" s="4706" t="s">
        <v>2429</v>
      </c>
      <c r="B83" s="4706" t="s">
        <v>16</v>
      </c>
      <c r="C83" s="4706" t="s">
        <v>2703</v>
      </c>
      <c r="D83" s="4706" t="s">
        <v>2704</v>
      </c>
      <c r="E83" s="4706" t="s">
        <v>2705</v>
      </c>
      <c r="F83" s="4706" t="s">
        <v>2570</v>
      </c>
      <c r="G83" s="4706" t="s">
        <v>22</v>
      </c>
      <c r="H83" s="4706" t="s">
        <v>22</v>
      </c>
      <c r="I83" s="4706" t="s">
        <v>829</v>
      </c>
    </row>
    <row customHeight="1" ht="11.25">
      <c r="A84" s="4706" t="s">
        <v>2429</v>
      </c>
      <c r="B84" s="4706" t="s">
        <v>16</v>
      </c>
      <c r="C84" s="4706" t="s">
        <v>2706</v>
      </c>
      <c r="D84" s="4706" t="s">
        <v>2707</v>
      </c>
      <c r="E84" s="4706" t="s">
        <v>2708</v>
      </c>
      <c r="F84" s="4706" t="s">
        <v>2532</v>
      </c>
      <c r="G84" s="4706" t="s">
        <v>22</v>
      </c>
      <c r="H84" s="4706" t="s">
        <v>22</v>
      </c>
      <c r="I84" s="4706" t="s">
        <v>829</v>
      </c>
    </row>
    <row customHeight="1" ht="11.25">
      <c r="A85" s="4706" t="s">
        <v>2429</v>
      </c>
      <c r="B85" s="4706" t="s">
        <v>16</v>
      </c>
      <c r="C85" s="4706" t="s">
        <v>2709</v>
      </c>
      <c r="D85" s="4706" t="s">
        <v>2710</v>
      </c>
      <c r="E85" s="4706" t="s">
        <v>2711</v>
      </c>
      <c r="F85" s="4706" t="s">
        <v>2712</v>
      </c>
      <c r="G85" s="4706" t="s">
        <v>22</v>
      </c>
      <c r="H85" s="4706" t="s">
        <v>22</v>
      </c>
      <c r="I85" s="4706" t="s">
        <v>829</v>
      </c>
    </row>
    <row customHeight="1" ht="11.25">
      <c r="A86" s="4706" t="s">
        <v>2429</v>
      </c>
      <c r="B86" s="4706" t="s">
        <v>16</v>
      </c>
      <c r="C86" s="4706" t="s">
        <v>2713</v>
      </c>
      <c r="D86" s="4706" t="s">
        <v>2714</v>
      </c>
      <c r="E86" s="4706" t="s">
        <v>2715</v>
      </c>
      <c r="F86" s="4706" t="s">
        <v>2437</v>
      </c>
      <c r="G86" s="4706" t="s">
        <v>2716</v>
      </c>
      <c r="H86" s="4706" t="s">
        <v>22</v>
      </c>
      <c r="I86" s="4706" t="s">
        <v>829</v>
      </c>
    </row>
    <row customHeight="1" ht="11.25">
      <c r="A87" s="4706" t="s">
        <v>2429</v>
      </c>
      <c r="B87" s="4706" t="s">
        <v>16</v>
      </c>
      <c r="C87" s="4706" t="s">
        <v>2717</v>
      </c>
      <c r="D87" s="4706" t="s">
        <v>2718</v>
      </c>
      <c r="E87" s="4706" t="s">
        <v>2719</v>
      </c>
      <c r="F87" s="4706" t="s">
        <v>2643</v>
      </c>
      <c r="G87" s="4706" t="s">
        <v>22</v>
      </c>
      <c r="H87" s="4706" t="s">
        <v>22</v>
      </c>
      <c r="I87" s="4706" t="s">
        <v>829</v>
      </c>
    </row>
    <row customHeight="1" ht="11.25">
      <c r="A88" s="4706" t="s">
        <v>2429</v>
      </c>
      <c r="B88" s="4706" t="s">
        <v>16</v>
      </c>
      <c r="C88" s="4706" t="s">
        <v>2720</v>
      </c>
      <c r="D88" s="4706" t="s">
        <v>2721</v>
      </c>
      <c r="E88" s="4706" t="s">
        <v>2722</v>
      </c>
      <c r="F88" s="4706" t="s">
        <v>2437</v>
      </c>
      <c r="G88" s="4706" t="s">
        <v>22</v>
      </c>
      <c r="H88" s="4706" t="s">
        <v>22</v>
      </c>
      <c r="I88" s="4706" t="s">
        <v>829</v>
      </c>
    </row>
    <row customHeight="1" ht="11.25">
      <c r="A89" s="4706" t="s">
        <v>2429</v>
      </c>
      <c r="B89" s="4706" t="s">
        <v>16</v>
      </c>
      <c r="C89" s="4706" t="s">
        <v>2723</v>
      </c>
      <c r="D89" s="4706" t="s">
        <v>2724</v>
      </c>
      <c r="E89" s="4706" t="s">
        <v>2725</v>
      </c>
      <c r="F89" s="4706" t="s">
        <v>2570</v>
      </c>
      <c r="G89" s="4706" t="s">
        <v>22</v>
      </c>
      <c r="H89" s="4706" t="s">
        <v>22</v>
      </c>
      <c r="I89" s="4706" t="s">
        <v>829</v>
      </c>
    </row>
    <row customHeight="1" ht="11.25">
      <c r="A90" s="4706" t="s">
        <v>2429</v>
      </c>
      <c r="B90" s="4706" t="s">
        <v>16</v>
      </c>
      <c r="C90" s="4706" t="s">
        <v>2726</v>
      </c>
      <c r="D90" s="4706" t="s">
        <v>2727</v>
      </c>
      <c r="E90" s="4706" t="s">
        <v>2728</v>
      </c>
      <c r="F90" s="4706" t="s">
        <v>2461</v>
      </c>
      <c r="G90" s="4706" t="s">
        <v>2729</v>
      </c>
      <c r="H90" s="4706" t="s">
        <v>22</v>
      </c>
      <c r="I90" s="4706" t="s">
        <v>829</v>
      </c>
    </row>
    <row customHeight="1" ht="11.25">
      <c r="A91" s="4706" t="s">
        <v>2429</v>
      </c>
      <c r="B91" s="4706" t="s">
        <v>16</v>
      </c>
      <c r="C91" s="4706" t="s">
        <v>2730</v>
      </c>
      <c r="D91" s="4706" t="s">
        <v>2731</v>
      </c>
      <c r="E91" s="4706" t="s">
        <v>2732</v>
      </c>
      <c r="F91" s="4706" t="s">
        <v>2437</v>
      </c>
      <c r="G91" s="4706" t="s">
        <v>2733</v>
      </c>
      <c r="H91" s="4706" t="s">
        <v>22</v>
      </c>
      <c r="I91" s="4706" t="s">
        <v>829</v>
      </c>
    </row>
    <row customHeight="1" ht="11.25">
      <c r="A92" s="4706" t="s">
        <v>2429</v>
      </c>
      <c r="B92" s="4706" t="s">
        <v>16</v>
      </c>
      <c r="C92" s="4706" t="s">
        <v>2734</v>
      </c>
      <c r="D92" s="4706" t="s">
        <v>2735</v>
      </c>
      <c r="E92" s="4706" t="s">
        <v>2736</v>
      </c>
      <c r="F92" s="4706" t="s">
        <v>2465</v>
      </c>
      <c r="G92" s="4706" t="s">
        <v>22</v>
      </c>
      <c r="H92" s="4706" t="s">
        <v>22</v>
      </c>
      <c r="I92" s="4706" t="s">
        <v>829</v>
      </c>
    </row>
    <row customHeight="1" ht="11.25">
      <c r="A93" s="4706" t="s">
        <v>2429</v>
      </c>
      <c r="B93" s="4706" t="s">
        <v>16</v>
      </c>
      <c r="C93" s="4706" t="s">
        <v>2737</v>
      </c>
      <c r="D93" s="4706" t="s">
        <v>2738</v>
      </c>
      <c r="E93" s="4706" t="s">
        <v>2739</v>
      </c>
      <c r="F93" s="4706" t="s">
        <v>2740</v>
      </c>
      <c r="G93" s="4706" t="s">
        <v>22</v>
      </c>
      <c r="H93" s="4706" t="s">
        <v>22</v>
      </c>
      <c r="I93" s="4706" t="s">
        <v>829</v>
      </c>
    </row>
    <row customHeight="1" ht="11.25">
      <c r="A94" s="4706" t="s">
        <v>2429</v>
      </c>
      <c r="B94" s="4706" t="s">
        <v>16</v>
      </c>
      <c r="C94" s="4706" t="s">
        <v>2741</v>
      </c>
      <c r="D94" s="4706" t="s">
        <v>2742</v>
      </c>
      <c r="E94" s="4706" t="s">
        <v>2743</v>
      </c>
      <c r="F94" s="4706" t="s">
        <v>2441</v>
      </c>
      <c r="G94" s="4706" t="s">
        <v>22</v>
      </c>
      <c r="H94" s="4706" t="s">
        <v>22</v>
      </c>
      <c r="I94" s="4706" t="s">
        <v>829</v>
      </c>
    </row>
    <row customHeight="1" ht="11.25">
      <c r="A95" s="4706" t="s">
        <v>2429</v>
      </c>
      <c r="B95" s="4706" t="s">
        <v>16</v>
      </c>
      <c r="C95" s="4706" t="s">
        <v>2744</v>
      </c>
      <c r="D95" s="4706" t="s">
        <v>2745</v>
      </c>
      <c r="E95" s="4706" t="s">
        <v>2746</v>
      </c>
      <c r="F95" s="4706" t="s">
        <v>2523</v>
      </c>
      <c r="G95" s="4706" t="s">
        <v>2747</v>
      </c>
      <c r="H95" s="4706" t="s">
        <v>22</v>
      </c>
      <c r="I95" s="4706" t="s">
        <v>829</v>
      </c>
    </row>
    <row customHeight="1" ht="11.25">
      <c r="A96" s="4706" t="s">
        <v>2429</v>
      </c>
      <c r="B96" s="4706" t="s">
        <v>16</v>
      </c>
      <c r="C96" s="4706" t="s">
        <v>2748</v>
      </c>
      <c r="D96" s="4706" t="s">
        <v>2749</v>
      </c>
      <c r="E96" s="4706" t="s">
        <v>2750</v>
      </c>
      <c r="F96" s="4706" t="s">
        <v>2751</v>
      </c>
      <c r="G96" s="4706" t="s">
        <v>22</v>
      </c>
      <c r="H96" s="4706" t="s">
        <v>22</v>
      </c>
      <c r="I96" s="4706" t="s">
        <v>829</v>
      </c>
    </row>
    <row customHeight="1" ht="11.25">
      <c r="A97" s="4706" t="s">
        <v>2429</v>
      </c>
      <c r="B97" s="4706" t="s">
        <v>16</v>
      </c>
      <c r="C97" s="4706" t="s">
        <v>2752</v>
      </c>
      <c r="D97" s="4706" t="s">
        <v>2753</v>
      </c>
      <c r="E97" s="4706" t="s">
        <v>2754</v>
      </c>
      <c r="F97" s="4706" t="s">
        <v>2441</v>
      </c>
      <c r="G97" s="4706" t="s">
        <v>2755</v>
      </c>
      <c r="H97" s="4706" t="s">
        <v>22</v>
      </c>
      <c r="I97" s="4706" t="s">
        <v>829</v>
      </c>
    </row>
    <row customHeight="1" ht="11.25">
      <c r="A98" s="4706" t="s">
        <v>2429</v>
      </c>
      <c r="B98" s="4706" t="s">
        <v>16</v>
      </c>
      <c r="C98" s="4706" t="s">
        <v>2756</v>
      </c>
      <c r="D98" s="4706" t="s">
        <v>2757</v>
      </c>
      <c r="E98" s="4706" t="s">
        <v>2758</v>
      </c>
      <c r="F98" s="4706" t="s">
        <v>2469</v>
      </c>
      <c r="G98" s="4706" t="s">
        <v>22</v>
      </c>
      <c r="H98" s="4706" t="s">
        <v>22</v>
      </c>
      <c r="I98" s="4706" t="s">
        <v>829</v>
      </c>
    </row>
    <row customHeight="1" ht="11.25">
      <c r="A99" s="4706" t="s">
        <v>2429</v>
      </c>
      <c r="B99" s="4706" t="s">
        <v>16</v>
      </c>
      <c r="C99" s="4706" t="s">
        <v>2759</v>
      </c>
      <c r="D99" s="4706" t="s">
        <v>2760</v>
      </c>
      <c r="E99" s="4706" t="s">
        <v>2761</v>
      </c>
      <c r="F99" s="4706" t="s">
        <v>2437</v>
      </c>
      <c r="G99" s="4706" t="s">
        <v>22</v>
      </c>
      <c r="H99" s="4706" t="s">
        <v>22</v>
      </c>
      <c r="I99" s="4706" t="s">
        <v>829</v>
      </c>
    </row>
    <row customHeight="1" ht="11.25">
      <c r="A100" s="4706" t="s">
        <v>2429</v>
      </c>
      <c r="B100" s="4706" t="s">
        <v>16</v>
      </c>
      <c r="C100" s="4706" t="s">
        <v>2762</v>
      </c>
      <c r="D100" s="4706" t="s">
        <v>2763</v>
      </c>
      <c r="E100" s="4706" t="s">
        <v>2764</v>
      </c>
      <c r="F100" s="4706" t="s">
        <v>2465</v>
      </c>
      <c r="G100" s="4706" t="s">
        <v>22</v>
      </c>
      <c r="H100" s="4706" t="s">
        <v>22</v>
      </c>
      <c r="I100" s="4706" t="s">
        <v>829</v>
      </c>
    </row>
    <row customHeight="1" ht="11.25">
      <c r="A101" s="4706" t="s">
        <v>2429</v>
      </c>
      <c r="B101" s="4706" t="s">
        <v>16</v>
      </c>
      <c r="C101" s="4706" t="s">
        <v>2765</v>
      </c>
      <c r="D101" s="4706" t="s">
        <v>2766</v>
      </c>
      <c r="E101" s="4706" t="s">
        <v>2767</v>
      </c>
      <c r="F101" s="4706" t="s">
        <v>2624</v>
      </c>
      <c r="G101" s="4706" t="s">
        <v>22</v>
      </c>
      <c r="H101" s="4706" t="s">
        <v>22</v>
      </c>
      <c r="I101" s="4706" t="s">
        <v>829</v>
      </c>
    </row>
    <row customHeight="1" ht="11.25">
      <c r="A102" s="4706" t="s">
        <v>2429</v>
      </c>
      <c r="B102" s="4706" t="s">
        <v>16</v>
      </c>
      <c r="C102" s="4706" t="s">
        <v>2768</v>
      </c>
      <c r="D102" s="4706" t="s">
        <v>2769</v>
      </c>
      <c r="E102" s="4706" t="s">
        <v>2770</v>
      </c>
      <c r="F102" s="4706" t="s">
        <v>2624</v>
      </c>
      <c r="G102" s="4706" t="s">
        <v>22</v>
      </c>
      <c r="H102" s="4706" t="s">
        <v>22</v>
      </c>
      <c r="I102" s="4706" t="s">
        <v>829</v>
      </c>
    </row>
    <row customHeight="1" ht="11.25">
      <c r="A103" s="4706" t="s">
        <v>2429</v>
      </c>
      <c r="B103" s="4706" t="s">
        <v>16</v>
      </c>
      <c r="C103" s="4706" t="s">
        <v>2771</v>
      </c>
      <c r="D103" s="4706" t="s">
        <v>2772</v>
      </c>
      <c r="E103" s="4706" t="s">
        <v>2773</v>
      </c>
      <c r="F103" s="4706" t="s">
        <v>2774</v>
      </c>
      <c r="G103" s="4706" t="s">
        <v>22</v>
      </c>
      <c r="H103" s="4706" t="s">
        <v>22</v>
      </c>
      <c r="I103" s="4706" t="s">
        <v>829</v>
      </c>
    </row>
    <row customHeight="1" ht="11.25">
      <c r="A104" s="4706" t="s">
        <v>2429</v>
      </c>
      <c r="B104" s="4706" t="s">
        <v>16</v>
      </c>
      <c r="C104" s="4706" t="s">
        <v>2775</v>
      </c>
      <c r="D104" s="4706" t="s">
        <v>2776</v>
      </c>
      <c r="E104" s="4706" t="s">
        <v>2777</v>
      </c>
      <c r="F104" s="4706" t="s">
        <v>2778</v>
      </c>
      <c r="G104" s="4706" t="s">
        <v>22</v>
      </c>
      <c r="H104" s="4706" t="s">
        <v>22</v>
      </c>
      <c r="I104" s="4706" t="s">
        <v>829</v>
      </c>
    </row>
    <row customHeight="1" ht="11.25">
      <c r="A105" s="4706" t="s">
        <v>2429</v>
      </c>
      <c r="B105" s="4706" t="s">
        <v>16</v>
      </c>
      <c r="C105" s="4706" t="s">
        <v>2779</v>
      </c>
      <c r="D105" s="4706" t="s">
        <v>2780</v>
      </c>
      <c r="E105" s="4706" t="s">
        <v>2781</v>
      </c>
      <c r="F105" s="4706" t="s">
        <v>2778</v>
      </c>
      <c r="G105" s="4706" t="s">
        <v>22</v>
      </c>
      <c r="H105" s="4706" t="s">
        <v>22</v>
      </c>
      <c r="I105" s="4706" t="s">
        <v>829</v>
      </c>
    </row>
    <row customHeight="1" ht="11.25">
      <c r="A106" s="4706" t="s">
        <v>2429</v>
      </c>
      <c r="B106" s="4706" t="s">
        <v>16</v>
      </c>
      <c r="C106" s="4706" t="s">
        <v>2782</v>
      </c>
      <c r="D106" s="4706" t="s">
        <v>2783</v>
      </c>
      <c r="E106" s="4706" t="s">
        <v>2784</v>
      </c>
      <c r="F106" s="4706" t="s">
        <v>2465</v>
      </c>
      <c r="G106" s="4706" t="s">
        <v>22</v>
      </c>
      <c r="H106" s="4706" t="s">
        <v>22</v>
      </c>
      <c r="I106" s="4706" t="s">
        <v>829</v>
      </c>
    </row>
    <row customHeight="1" ht="11.25">
      <c r="A107" s="4706" t="s">
        <v>2429</v>
      </c>
      <c r="B107" s="4706" t="s">
        <v>16</v>
      </c>
      <c r="C107" s="4706" t="s">
        <v>2785</v>
      </c>
      <c r="D107" s="4706" t="s">
        <v>2783</v>
      </c>
      <c r="E107" s="4706" t="s">
        <v>2786</v>
      </c>
      <c r="F107" s="4706" t="s">
        <v>2778</v>
      </c>
      <c r="G107" s="4706" t="s">
        <v>22</v>
      </c>
      <c r="H107" s="4706" t="s">
        <v>22</v>
      </c>
      <c r="I107" s="4706" t="s">
        <v>829</v>
      </c>
    </row>
    <row customHeight="1" ht="11.25">
      <c r="A108" s="4706" t="s">
        <v>2429</v>
      </c>
      <c r="B108" s="4706" t="s">
        <v>16</v>
      </c>
      <c r="C108" s="4706" t="s">
        <v>2787</v>
      </c>
      <c r="D108" s="4706" t="s">
        <v>2788</v>
      </c>
      <c r="E108" s="4706" t="s">
        <v>2789</v>
      </c>
      <c r="F108" s="4706" t="s">
        <v>2437</v>
      </c>
      <c r="G108" s="4706" t="s">
        <v>22</v>
      </c>
      <c r="H108" s="4706" t="s">
        <v>22</v>
      </c>
      <c r="I108" s="4706" t="s">
        <v>829</v>
      </c>
    </row>
    <row customHeight="1" ht="11.25">
      <c r="A109" s="4706" t="s">
        <v>2429</v>
      </c>
      <c r="B109" s="4706" t="s">
        <v>16</v>
      </c>
      <c r="C109" s="4706" t="s">
        <v>2790</v>
      </c>
      <c r="D109" s="4706" t="s">
        <v>2791</v>
      </c>
      <c r="E109" s="4706" t="s">
        <v>2792</v>
      </c>
      <c r="F109" s="4706" t="s">
        <v>2437</v>
      </c>
      <c r="G109" s="4706" t="s">
        <v>22</v>
      </c>
      <c r="H109" s="4706" t="s">
        <v>22</v>
      </c>
      <c r="I109" s="4706" t="s">
        <v>829</v>
      </c>
    </row>
    <row customHeight="1" ht="11.25">
      <c r="A110" s="4706" t="s">
        <v>2429</v>
      </c>
      <c r="B110" s="4706" t="s">
        <v>16</v>
      </c>
      <c r="C110" s="4706" t="s">
        <v>2793</v>
      </c>
      <c r="D110" s="4706" t="s">
        <v>2794</v>
      </c>
      <c r="E110" s="4706" t="s">
        <v>2795</v>
      </c>
      <c r="F110" s="4706" t="s">
        <v>2437</v>
      </c>
      <c r="G110" s="4706" t="s">
        <v>22</v>
      </c>
      <c r="H110" s="4706" t="s">
        <v>22</v>
      </c>
      <c r="I110" s="4706" t="s">
        <v>829</v>
      </c>
    </row>
    <row customHeight="1" ht="11.25">
      <c r="A111" s="4706" t="s">
        <v>2429</v>
      </c>
      <c r="B111" s="4706" t="s">
        <v>16</v>
      </c>
      <c r="C111" s="4706" t="s">
        <v>2796</v>
      </c>
      <c r="D111" s="4706" t="s">
        <v>2797</v>
      </c>
      <c r="E111" s="4706" t="s">
        <v>2798</v>
      </c>
      <c r="F111" s="4706" t="s">
        <v>2437</v>
      </c>
      <c r="G111" s="4706" t="s">
        <v>2799</v>
      </c>
      <c r="H111" s="4706" t="s">
        <v>22</v>
      </c>
      <c r="I111" s="4706" t="s">
        <v>829</v>
      </c>
    </row>
    <row customHeight="1" ht="11.25">
      <c r="A112" s="4706" t="s">
        <v>2429</v>
      </c>
      <c r="B112" s="4706" t="s">
        <v>16</v>
      </c>
      <c r="C112" s="4706" t="s">
        <v>2800</v>
      </c>
      <c r="D112" s="4706" t="s">
        <v>2801</v>
      </c>
      <c r="E112" s="4706" t="s">
        <v>2802</v>
      </c>
      <c r="F112" s="4706" t="s">
        <v>2437</v>
      </c>
      <c r="G112" s="4706" t="s">
        <v>22</v>
      </c>
      <c r="H112" s="4706" t="s">
        <v>22</v>
      </c>
      <c r="I112" s="4706" t="s">
        <v>829</v>
      </c>
    </row>
    <row customHeight="1" ht="11.25">
      <c r="A113" s="4706" t="s">
        <v>2429</v>
      </c>
      <c r="B113" s="4706" t="s">
        <v>16</v>
      </c>
      <c r="C113" s="4706" t="s">
        <v>2803</v>
      </c>
      <c r="D113" s="4706" t="s">
        <v>2804</v>
      </c>
      <c r="E113" s="4706" t="s">
        <v>2805</v>
      </c>
      <c r="F113" s="4706" t="s">
        <v>2437</v>
      </c>
      <c r="G113" s="4706" t="s">
        <v>22</v>
      </c>
      <c r="H113" s="4706" t="s">
        <v>22</v>
      </c>
      <c r="I113" s="4706" t="s">
        <v>829</v>
      </c>
    </row>
    <row customHeight="1" ht="11.25">
      <c r="A114" s="4706" t="s">
        <v>2429</v>
      </c>
      <c r="B114" s="4706" t="s">
        <v>16</v>
      </c>
      <c r="C114" s="4706" t="s">
        <v>2806</v>
      </c>
      <c r="D114" s="4706" t="s">
        <v>2807</v>
      </c>
      <c r="E114" s="4706" t="s">
        <v>2808</v>
      </c>
      <c r="F114" s="4706" t="s">
        <v>2441</v>
      </c>
      <c r="G114" s="4706" t="s">
        <v>22</v>
      </c>
      <c r="H114" s="4706" t="s">
        <v>22</v>
      </c>
      <c r="I114" s="4706" t="s">
        <v>829</v>
      </c>
    </row>
    <row customHeight="1" ht="11.25">
      <c r="A115" s="4706" t="s">
        <v>2429</v>
      </c>
      <c r="B115" s="4706" t="s">
        <v>16</v>
      </c>
      <c r="C115" s="4706" t="s">
        <v>2809</v>
      </c>
      <c r="D115" s="4706" t="s">
        <v>2810</v>
      </c>
      <c r="E115" s="4706" t="s">
        <v>2811</v>
      </c>
      <c r="F115" s="4706" t="s">
        <v>2812</v>
      </c>
      <c r="G115" s="4706" t="s">
        <v>22</v>
      </c>
      <c r="H115" s="4706" t="s">
        <v>22</v>
      </c>
      <c r="I115" s="4706" t="s">
        <v>829</v>
      </c>
    </row>
    <row customHeight="1" ht="11.25">
      <c r="A116" s="4706" t="s">
        <v>2429</v>
      </c>
      <c r="B116" s="4706" t="s">
        <v>16</v>
      </c>
      <c r="C116" s="4706" t="s">
        <v>2813</v>
      </c>
      <c r="D116" s="4706" t="s">
        <v>2814</v>
      </c>
      <c r="E116" s="4706" t="s">
        <v>2815</v>
      </c>
      <c r="F116" s="4706" t="s">
        <v>2548</v>
      </c>
      <c r="G116" s="4706" t="s">
        <v>22</v>
      </c>
      <c r="H116" s="4706" t="s">
        <v>22</v>
      </c>
      <c r="I116" s="4706" t="s">
        <v>829</v>
      </c>
    </row>
    <row customHeight="1" ht="11.25">
      <c r="A117" s="4706" t="s">
        <v>2429</v>
      </c>
      <c r="B117" s="4706" t="s">
        <v>16</v>
      </c>
      <c r="C117" s="4706" t="s">
        <v>2816</v>
      </c>
      <c r="D117" s="4706" t="s">
        <v>2817</v>
      </c>
      <c r="E117" s="4706" t="s">
        <v>2818</v>
      </c>
      <c r="F117" s="4706" t="s">
        <v>2563</v>
      </c>
      <c r="G117" s="4706" t="s">
        <v>22</v>
      </c>
      <c r="H117" s="4706" t="s">
        <v>22</v>
      </c>
      <c r="I117" s="4706" t="s">
        <v>829</v>
      </c>
    </row>
    <row customHeight="1" ht="11.25">
      <c r="A118" s="4706" t="s">
        <v>2429</v>
      </c>
      <c r="B118" s="4706" t="s">
        <v>16</v>
      </c>
      <c r="C118" s="4706" t="s">
        <v>2819</v>
      </c>
      <c r="D118" s="4706" t="s">
        <v>2820</v>
      </c>
      <c r="E118" s="4706" t="s">
        <v>2821</v>
      </c>
      <c r="F118" s="4706" t="s">
        <v>2822</v>
      </c>
      <c r="G118" s="4706" t="s">
        <v>22</v>
      </c>
      <c r="H118" s="4706" t="s">
        <v>22</v>
      </c>
      <c r="I118" s="4706" t="s">
        <v>829</v>
      </c>
    </row>
    <row customHeight="1" ht="11.25">
      <c r="A119" s="4706" t="s">
        <v>2429</v>
      </c>
      <c r="B119" s="4706" t="s">
        <v>16</v>
      </c>
      <c r="C119" s="4706" t="s">
        <v>2823</v>
      </c>
      <c r="D119" s="4706" t="s">
        <v>2824</v>
      </c>
      <c r="E119" s="4706" t="s">
        <v>2825</v>
      </c>
      <c r="F119" s="4706" t="s">
        <v>2774</v>
      </c>
      <c r="G119" s="4706" t="s">
        <v>22</v>
      </c>
      <c r="H119" s="4706" t="s">
        <v>22</v>
      </c>
      <c r="I119" s="4706" t="s">
        <v>829</v>
      </c>
    </row>
    <row customHeight="1" ht="11.25">
      <c r="A120" s="4706" t="s">
        <v>2429</v>
      </c>
      <c r="B120" s="4706" t="s">
        <v>16</v>
      </c>
      <c r="C120" s="4706" t="s">
        <v>2826</v>
      </c>
      <c r="D120" s="4706" t="s">
        <v>2827</v>
      </c>
      <c r="E120" s="4706" t="s">
        <v>2828</v>
      </c>
      <c r="F120" s="4706" t="s">
        <v>2774</v>
      </c>
      <c r="G120" s="4706" t="s">
        <v>2829</v>
      </c>
      <c r="H120" s="4706" t="s">
        <v>22</v>
      </c>
      <c r="I120" s="4706" t="s">
        <v>829</v>
      </c>
    </row>
    <row customHeight="1" ht="11.25">
      <c r="A121" s="4706" t="s">
        <v>2429</v>
      </c>
      <c r="B121" s="4706" t="s">
        <v>16</v>
      </c>
      <c r="C121" s="4706" t="s">
        <v>2830</v>
      </c>
      <c r="D121" s="4706" t="s">
        <v>2831</v>
      </c>
      <c r="E121" s="4706" t="s">
        <v>2832</v>
      </c>
      <c r="F121" s="4706" t="s">
        <v>2666</v>
      </c>
      <c r="G121" s="4706" t="s">
        <v>22</v>
      </c>
      <c r="H121" s="4706" t="s">
        <v>22</v>
      </c>
      <c r="I121" s="4706" t="s">
        <v>829</v>
      </c>
    </row>
    <row customHeight="1" ht="11.25">
      <c r="A122" s="4706" t="s">
        <v>2429</v>
      </c>
      <c r="B122" s="4706" t="s">
        <v>16</v>
      </c>
      <c r="C122" s="4706" t="s">
        <v>2833</v>
      </c>
      <c r="D122" s="4706" t="s">
        <v>2834</v>
      </c>
      <c r="E122" s="4706" t="s">
        <v>2835</v>
      </c>
      <c r="F122" s="4706" t="s">
        <v>2437</v>
      </c>
      <c r="G122" s="4706" t="s">
        <v>22</v>
      </c>
      <c r="H122" s="4706" t="s">
        <v>22</v>
      </c>
      <c r="I122" s="4706" t="s">
        <v>829</v>
      </c>
    </row>
    <row customHeight="1" ht="11.25">
      <c r="A123" s="4706" t="s">
        <v>2429</v>
      </c>
      <c r="B123" s="4706" t="s">
        <v>16</v>
      </c>
      <c r="C123" s="4706" t="s">
        <v>2836</v>
      </c>
      <c r="D123" s="4706" t="s">
        <v>2837</v>
      </c>
      <c r="E123" s="4706" t="s">
        <v>2838</v>
      </c>
      <c r="F123" s="4706" t="s">
        <v>2437</v>
      </c>
      <c r="G123" s="4706" t="s">
        <v>22</v>
      </c>
      <c r="H123" s="4706" t="s">
        <v>22</v>
      </c>
      <c r="I123" s="4706" t="s">
        <v>829</v>
      </c>
    </row>
    <row customHeight="1" ht="11.25">
      <c r="A124" s="4706" t="s">
        <v>2429</v>
      </c>
      <c r="B124" s="4706" t="s">
        <v>16</v>
      </c>
      <c r="C124" s="4706" t="s">
        <v>2839</v>
      </c>
      <c r="D124" s="4706" t="s">
        <v>2840</v>
      </c>
      <c r="E124" s="4706" t="s">
        <v>2841</v>
      </c>
      <c r="F124" s="4706" t="s">
        <v>2563</v>
      </c>
      <c r="G124" s="4706" t="s">
        <v>22</v>
      </c>
      <c r="H124" s="4706" t="s">
        <v>22</v>
      </c>
      <c r="I124" s="4706" t="s">
        <v>829</v>
      </c>
    </row>
    <row customHeight="1" ht="11.25">
      <c r="A125" s="4706" t="s">
        <v>2429</v>
      </c>
      <c r="B125" s="4706" t="s">
        <v>16</v>
      </c>
      <c r="C125" s="4706" t="s">
        <v>2842</v>
      </c>
      <c r="D125" s="4706" t="s">
        <v>2843</v>
      </c>
      <c r="E125" s="4706" t="s">
        <v>2844</v>
      </c>
      <c r="F125" s="4706" t="s">
        <v>2563</v>
      </c>
      <c r="G125" s="4706" t="s">
        <v>22</v>
      </c>
      <c r="H125" s="4706" t="s">
        <v>22</v>
      </c>
      <c r="I125" s="4706" t="s">
        <v>829</v>
      </c>
    </row>
    <row customHeight="1" ht="11.25">
      <c r="A126" s="4706" t="s">
        <v>2429</v>
      </c>
      <c r="B126" s="4706" t="s">
        <v>16</v>
      </c>
      <c r="C126" s="4706" t="s">
        <v>2845</v>
      </c>
      <c r="D126" s="4706" t="s">
        <v>2846</v>
      </c>
      <c r="E126" s="4706" t="s">
        <v>2847</v>
      </c>
      <c r="F126" s="4706" t="s">
        <v>2461</v>
      </c>
      <c r="G126" s="4706" t="s">
        <v>22</v>
      </c>
      <c r="H126" s="4706" t="s">
        <v>22</v>
      </c>
      <c r="I126" s="4706" t="s">
        <v>829</v>
      </c>
    </row>
    <row customHeight="1" ht="11.25">
      <c r="A127" s="4706" t="s">
        <v>2429</v>
      </c>
      <c r="B127" s="4706" t="s">
        <v>16</v>
      </c>
      <c r="C127" s="4706" t="s">
        <v>2848</v>
      </c>
      <c r="D127" s="4706" t="s">
        <v>2849</v>
      </c>
      <c r="E127" s="4706" t="s">
        <v>2850</v>
      </c>
      <c r="F127" s="4706" t="s">
        <v>2437</v>
      </c>
      <c r="G127" s="4706" t="s">
        <v>2851</v>
      </c>
      <c r="H127" s="4706" t="s">
        <v>22</v>
      </c>
      <c r="I127" s="4706" t="s">
        <v>829</v>
      </c>
    </row>
    <row customHeight="1" ht="11.25">
      <c r="A128" s="4706" t="s">
        <v>2429</v>
      </c>
      <c r="B128" s="4706" t="s">
        <v>16</v>
      </c>
      <c r="C128" s="4706" t="s">
        <v>2852</v>
      </c>
      <c r="D128" s="4706" t="s">
        <v>2853</v>
      </c>
      <c r="E128" s="4706" t="s">
        <v>2854</v>
      </c>
      <c r="F128" s="4706" t="s">
        <v>2563</v>
      </c>
      <c r="G128" s="4706" t="s">
        <v>2855</v>
      </c>
      <c r="H128" s="4706" t="s">
        <v>22</v>
      </c>
      <c r="I128" s="4706" t="s">
        <v>829</v>
      </c>
    </row>
    <row customHeight="1" ht="11.25">
      <c r="A129" s="4706" t="s">
        <v>2429</v>
      </c>
      <c r="B129" s="4706" t="s">
        <v>16</v>
      </c>
      <c r="C129" s="4706" t="s">
        <v>2856</v>
      </c>
      <c r="D129" s="4706" t="s">
        <v>2857</v>
      </c>
      <c r="E129" s="4706" t="s">
        <v>2858</v>
      </c>
      <c r="F129" s="4706" t="s">
        <v>2437</v>
      </c>
      <c r="G129" s="4706" t="s">
        <v>22</v>
      </c>
      <c r="H129" s="4706" t="s">
        <v>22</v>
      </c>
      <c r="I129" s="4706" t="s">
        <v>829</v>
      </c>
    </row>
    <row customHeight="1" ht="11.25">
      <c r="A130" s="4706" t="s">
        <v>2429</v>
      </c>
      <c r="B130" s="4706" t="s">
        <v>16</v>
      </c>
      <c r="C130" s="4706" t="s">
        <v>2859</v>
      </c>
      <c r="D130" s="4706" t="s">
        <v>2860</v>
      </c>
      <c r="E130" s="4706" t="s">
        <v>2861</v>
      </c>
      <c r="F130" s="4706" t="s">
        <v>2437</v>
      </c>
      <c r="G130" s="4706" t="s">
        <v>22</v>
      </c>
      <c r="H130" s="4706" t="s">
        <v>22</v>
      </c>
      <c r="I130" s="4706" t="s">
        <v>829</v>
      </c>
    </row>
    <row customHeight="1" ht="11.25">
      <c r="A131" s="4706" t="s">
        <v>2429</v>
      </c>
      <c r="B131" s="4706" t="s">
        <v>16</v>
      </c>
      <c r="C131" s="4706" t="s">
        <v>2862</v>
      </c>
      <c r="D131" s="4706" t="s">
        <v>2863</v>
      </c>
      <c r="E131" s="4706" t="s">
        <v>2864</v>
      </c>
      <c r="F131" s="4706" t="s">
        <v>2528</v>
      </c>
      <c r="G131" s="4706" t="s">
        <v>2865</v>
      </c>
      <c r="H131" s="4706" t="s">
        <v>22</v>
      </c>
      <c r="I131" s="4706" t="s">
        <v>829</v>
      </c>
    </row>
    <row customHeight="1" ht="11.25">
      <c r="A132" s="4706" t="s">
        <v>2429</v>
      </c>
      <c r="B132" s="4706" t="s">
        <v>16</v>
      </c>
      <c r="C132" s="4706" t="s">
        <v>2866</v>
      </c>
      <c r="D132" s="4706" t="s">
        <v>2867</v>
      </c>
      <c r="E132" s="4706" t="s">
        <v>2868</v>
      </c>
      <c r="F132" s="4706" t="s">
        <v>2563</v>
      </c>
      <c r="G132" s="4706" t="s">
        <v>22</v>
      </c>
      <c r="H132" s="4706" t="s">
        <v>22</v>
      </c>
      <c r="I132" s="4706" t="s">
        <v>829</v>
      </c>
    </row>
    <row customHeight="1" ht="11.25">
      <c r="A133" s="4706" t="s">
        <v>2429</v>
      </c>
      <c r="B133" s="4706" t="s">
        <v>16</v>
      </c>
      <c r="C133" s="4706" t="s">
        <v>2869</v>
      </c>
      <c r="D133" s="4706" t="s">
        <v>2870</v>
      </c>
      <c r="E133" s="4706" t="s">
        <v>2871</v>
      </c>
      <c r="F133" s="4706" t="s">
        <v>2563</v>
      </c>
      <c r="G133" s="4706" t="s">
        <v>22</v>
      </c>
      <c r="H133" s="4706" t="s">
        <v>22</v>
      </c>
      <c r="I133" s="4706" t="s">
        <v>829</v>
      </c>
    </row>
    <row customHeight="1" ht="11.25">
      <c r="A134" s="4706" t="s">
        <v>2429</v>
      </c>
      <c r="B134" s="4706" t="s">
        <v>16</v>
      </c>
      <c r="C134" s="4706" t="s">
        <v>2872</v>
      </c>
      <c r="D134" s="4706" t="s">
        <v>2873</v>
      </c>
      <c r="E134" s="4706" t="s">
        <v>2874</v>
      </c>
      <c r="F134" s="4706" t="s">
        <v>2437</v>
      </c>
      <c r="G134" s="4706" t="s">
        <v>22</v>
      </c>
      <c r="H134" s="4706" t="s">
        <v>22</v>
      </c>
      <c r="I134" s="4706" t="s">
        <v>829</v>
      </c>
    </row>
    <row customHeight="1" ht="11.25">
      <c r="A135" s="4706" t="s">
        <v>2429</v>
      </c>
      <c r="B135" s="4706" t="s">
        <v>16</v>
      </c>
      <c r="C135" s="4706" t="s">
        <v>2875</v>
      </c>
      <c r="D135" s="4706" t="s">
        <v>2873</v>
      </c>
      <c r="E135" s="4706" t="s">
        <v>2874</v>
      </c>
      <c r="F135" s="4706" t="s">
        <v>2548</v>
      </c>
      <c r="G135" s="4706" t="s">
        <v>2876</v>
      </c>
      <c r="H135" s="4706" t="s">
        <v>22</v>
      </c>
      <c r="I135" s="4706" t="s">
        <v>829</v>
      </c>
    </row>
    <row customHeight="1" ht="11.25">
      <c r="A136" s="4706" t="s">
        <v>2429</v>
      </c>
      <c r="B136" s="4706" t="s">
        <v>16</v>
      </c>
      <c r="C136" s="4706" t="s">
        <v>2877</v>
      </c>
      <c r="D136" s="4706" t="s">
        <v>2878</v>
      </c>
      <c r="E136" s="4706" t="s">
        <v>2879</v>
      </c>
      <c r="F136" s="4706" t="s">
        <v>2570</v>
      </c>
      <c r="G136" s="4706" t="s">
        <v>22</v>
      </c>
      <c r="H136" s="4706" t="s">
        <v>22</v>
      </c>
      <c r="I136" s="4706" t="s">
        <v>829</v>
      </c>
    </row>
    <row customHeight="1" ht="11.25">
      <c r="A137" s="4706" t="s">
        <v>2429</v>
      </c>
      <c r="B137" s="4706" t="s">
        <v>16</v>
      </c>
      <c r="C137" s="4706" t="s">
        <v>2880</v>
      </c>
      <c r="D137" s="4706" t="s">
        <v>2881</v>
      </c>
      <c r="E137" s="4706" t="s">
        <v>2882</v>
      </c>
      <c r="F137" s="4706" t="s">
        <v>2437</v>
      </c>
      <c r="G137" s="4706" t="s">
        <v>22</v>
      </c>
      <c r="H137" s="4706" t="s">
        <v>22</v>
      </c>
      <c r="I137" s="4706" t="s">
        <v>829</v>
      </c>
    </row>
    <row customHeight="1" ht="11.25">
      <c r="A138" s="4706" t="s">
        <v>2429</v>
      </c>
      <c r="B138" s="4706" t="s">
        <v>16</v>
      </c>
      <c r="C138" s="4706" t="s">
        <v>2883</v>
      </c>
      <c r="D138" s="4706" t="s">
        <v>2884</v>
      </c>
      <c r="E138" s="4706" t="s">
        <v>2885</v>
      </c>
      <c r="F138" s="4706" t="s">
        <v>2563</v>
      </c>
      <c r="G138" s="4706" t="s">
        <v>22</v>
      </c>
      <c r="H138" s="4706" t="s">
        <v>22</v>
      </c>
      <c r="I138" s="4706" t="s">
        <v>829</v>
      </c>
    </row>
    <row customHeight="1" ht="11.25">
      <c r="A139" s="4706" t="s">
        <v>2429</v>
      </c>
      <c r="B139" s="4706" t="s">
        <v>16</v>
      </c>
      <c r="C139" s="4706" t="s">
        <v>2886</v>
      </c>
      <c r="D139" s="4706" t="s">
        <v>2887</v>
      </c>
      <c r="E139" s="4706" t="s">
        <v>2888</v>
      </c>
      <c r="F139" s="4706" t="s">
        <v>2465</v>
      </c>
      <c r="G139" s="4706" t="s">
        <v>22</v>
      </c>
      <c r="H139" s="4706" t="s">
        <v>22</v>
      </c>
      <c r="I139" s="4706" t="s">
        <v>829</v>
      </c>
    </row>
    <row customHeight="1" ht="11.25">
      <c r="A140" s="4706" t="s">
        <v>2429</v>
      </c>
      <c r="B140" s="4706" t="s">
        <v>16</v>
      </c>
      <c r="C140" s="4706" t="s">
        <v>2889</v>
      </c>
      <c r="D140" s="4706" t="s">
        <v>2890</v>
      </c>
      <c r="E140" s="4706" t="s">
        <v>2891</v>
      </c>
      <c r="F140" s="4706" t="s">
        <v>2437</v>
      </c>
      <c r="G140" s="4706" t="s">
        <v>2892</v>
      </c>
      <c r="H140" s="4706" t="s">
        <v>22</v>
      </c>
      <c r="I140" s="4706" t="s">
        <v>829</v>
      </c>
    </row>
    <row customHeight="1" ht="11.25">
      <c r="A141" s="4706" t="s">
        <v>2429</v>
      </c>
      <c r="B141" s="4706" t="s">
        <v>16</v>
      </c>
      <c r="C141" s="4706" t="s">
        <v>2893</v>
      </c>
      <c r="D141" s="4706" t="s">
        <v>2894</v>
      </c>
      <c r="E141" s="4706" t="s">
        <v>2895</v>
      </c>
      <c r="F141" s="4706" t="s">
        <v>2896</v>
      </c>
      <c r="G141" s="4706" t="s">
        <v>22</v>
      </c>
      <c r="H141" s="4706" t="s">
        <v>22</v>
      </c>
      <c r="I141" s="4706" t="s">
        <v>829</v>
      </c>
    </row>
    <row customHeight="1" ht="11.25">
      <c r="A142" s="4706" t="s">
        <v>2429</v>
      </c>
      <c r="B142" s="4706" t="s">
        <v>16</v>
      </c>
      <c r="C142" s="4706" t="s">
        <v>2897</v>
      </c>
      <c r="D142" s="4706" t="s">
        <v>2898</v>
      </c>
      <c r="E142" s="4706" t="s">
        <v>2899</v>
      </c>
      <c r="F142" s="4706" t="s">
        <v>2896</v>
      </c>
      <c r="G142" s="4706" t="s">
        <v>22</v>
      </c>
      <c r="H142" s="4706" t="s">
        <v>22</v>
      </c>
      <c r="I142" s="4706" t="s">
        <v>829</v>
      </c>
    </row>
    <row customHeight="1" ht="11.25">
      <c r="A143" s="4706" t="s">
        <v>2429</v>
      </c>
      <c r="B143" s="4706" t="s">
        <v>16</v>
      </c>
      <c r="C143" s="4706" t="s">
        <v>2900</v>
      </c>
      <c r="D143" s="4706" t="s">
        <v>2901</v>
      </c>
      <c r="E143" s="4706" t="s">
        <v>2902</v>
      </c>
      <c r="F143" s="4706" t="s">
        <v>2774</v>
      </c>
      <c r="G143" s="4706" t="s">
        <v>22</v>
      </c>
      <c r="H143" s="4706" t="s">
        <v>22</v>
      </c>
      <c r="I143" s="4706" t="s">
        <v>829</v>
      </c>
    </row>
    <row customHeight="1" ht="11.25">
      <c r="A144" s="4706" t="s">
        <v>2429</v>
      </c>
      <c r="B144" s="4706" t="s">
        <v>16</v>
      </c>
      <c r="C144" s="4706" t="s">
        <v>2903</v>
      </c>
      <c r="D144" s="4706" t="s">
        <v>2904</v>
      </c>
      <c r="E144" s="4706" t="s">
        <v>2905</v>
      </c>
      <c r="F144" s="4706" t="s">
        <v>2563</v>
      </c>
      <c r="G144" s="4706" t="s">
        <v>22</v>
      </c>
      <c r="H144" s="4706" t="s">
        <v>22</v>
      </c>
      <c r="I144" s="4706" t="s">
        <v>829</v>
      </c>
    </row>
    <row customHeight="1" ht="11.25">
      <c r="A145" s="4706" t="s">
        <v>2429</v>
      </c>
      <c r="B145" s="4706" t="s">
        <v>16</v>
      </c>
      <c r="C145" s="4706" t="s">
        <v>2906</v>
      </c>
      <c r="D145" s="4706" t="s">
        <v>2907</v>
      </c>
      <c r="E145" s="4706" t="s">
        <v>2908</v>
      </c>
      <c r="F145" s="4706" t="s">
        <v>2437</v>
      </c>
      <c r="G145" s="4706" t="s">
        <v>22</v>
      </c>
      <c r="H145" s="4706" t="s">
        <v>22</v>
      </c>
      <c r="I145" s="4706" t="s">
        <v>829</v>
      </c>
    </row>
    <row customHeight="1" ht="11.25">
      <c r="A146" s="4706" t="s">
        <v>2429</v>
      </c>
      <c r="B146" s="4706" t="s">
        <v>16</v>
      </c>
      <c r="C146" s="4706" t="s">
        <v>2909</v>
      </c>
      <c r="D146" s="4706" t="s">
        <v>2910</v>
      </c>
      <c r="E146" s="4706" t="s">
        <v>2911</v>
      </c>
      <c r="F146" s="4706" t="s">
        <v>2774</v>
      </c>
      <c r="G146" s="4706" t="s">
        <v>22</v>
      </c>
      <c r="H146" s="4706" t="s">
        <v>22</v>
      </c>
      <c r="I146" s="4706" t="s">
        <v>829</v>
      </c>
    </row>
    <row customHeight="1" ht="11.25">
      <c r="A147" s="4706" t="s">
        <v>2429</v>
      </c>
      <c r="B147" s="4706" t="s">
        <v>16</v>
      </c>
      <c r="C147" s="4706" t="s">
        <v>2912</v>
      </c>
      <c r="D147" s="4706" t="s">
        <v>2913</v>
      </c>
      <c r="E147" s="4706" t="s">
        <v>2914</v>
      </c>
      <c r="F147" s="4706" t="s">
        <v>2548</v>
      </c>
      <c r="G147" s="4706" t="s">
        <v>22</v>
      </c>
      <c r="H147" s="4706" t="s">
        <v>22</v>
      </c>
      <c r="I147" s="4706" t="s">
        <v>829</v>
      </c>
    </row>
    <row customHeight="1" ht="11.25">
      <c r="A148" s="4706" t="s">
        <v>2429</v>
      </c>
      <c r="B148" s="4706" t="s">
        <v>16</v>
      </c>
      <c r="C148" s="4706" t="s">
        <v>2915</v>
      </c>
      <c r="D148" s="4706" t="s">
        <v>2916</v>
      </c>
      <c r="E148" s="4706" t="s">
        <v>2917</v>
      </c>
      <c r="F148" s="4706" t="s">
        <v>2437</v>
      </c>
      <c r="G148" s="4706" t="s">
        <v>22</v>
      </c>
      <c r="H148" s="4706" t="s">
        <v>22</v>
      </c>
      <c r="I148" s="4706" t="s">
        <v>829</v>
      </c>
    </row>
    <row customHeight="1" ht="11.25">
      <c r="A149" s="4706" t="s">
        <v>2429</v>
      </c>
      <c r="B149" s="4706" t="s">
        <v>16</v>
      </c>
      <c r="C149" s="4706" t="s">
        <v>2918</v>
      </c>
      <c r="D149" s="4706" t="s">
        <v>2919</v>
      </c>
      <c r="E149" s="4706" t="s">
        <v>2920</v>
      </c>
      <c r="F149" s="4706" t="s">
        <v>2528</v>
      </c>
      <c r="G149" s="4706" t="s">
        <v>22</v>
      </c>
      <c r="H149" s="4706" t="s">
        <v>22</v>
      </c>
      <c r="I149" s="4706" t="s">
        <v>829</v>
      </c>
    </row>
    <row customHeight="1" ht="11.25">
      <c r="A150" s="4706" t="s">
        <v>2429</v>
      </c>
      <c r="B150" s="4706" t="s">
        <v>16</v>
      </c>
      <c r="C150" s="4706" t="s">
        <v>2921</v>
      </c>
      <c r="D150" s="4706" t="s">
        <v>2922</v>
      </c>
      <c r="E150" s="4706" t="s">
        <v>2923</v>
      </c>
      <c r="F150" s="4706" t="s">
        <v>2896</v>
      </c>
      <c r="G150" s="4706" t="s">
        <v>2924</v>
      </c>
      <c r="H150" s="4706" t="s">
        <v>22</v>
      </c>
      <c r="I150" s="4706" t="s">
        <v>829</v>
      </c>
    </row>
    <row customHeight="1" ht="11.25">
      <c r="A151" s="4706" t="s">
        <v>2429</v>
      </c>
      <c r="B151" s="4706" t="s">
        <v>16</v>
      </c>
      <c r="C151" s="4706" t="s">
        <v>2925</v>
      </c>
      <c r="D151" s="4706" t="s">
        <v>2926</v>
      </c>
      <c r="E151" s="4706" t="s">
        <v>2927</v>
      </c>
      <c r="F151" s="4706" t="s">
        <v>2437</v>
      </c>
      <c r="G151" s="4706" t="s">
        <v>22</v>
      </c>
      <c r="H151" s="4706" t="s">
        <v>22</v>
      </c>
      <c r="I151" s="4706" t="s">
        <v>829</v>
      </c>
    </row>
    <row customHeight="1" ht="11.25">
      <c r="A152" s="4706" t="s">
        <v>2429</v>
      </c>
      <c r="B152" s="4706" t="s">
        <v>16</v>
      </c>
      <c r="C152" s="4706" t="s">
        <v>2928</v>
      </c>
      <c r="D152" s="4706" t="s">
        <v>2929</v>
      </c>
      <c r="E152" s="4706" t="s">
        <v>2930</v>
      </c>
      <c r="F152" s="4706" t="s">
        <v>2437</v>
      </c>
      <c r="G152" s="4706" t="s">
        <v>22</v>
      </c>
      <c r="H152" s="4706" t="s">
        <v>22</v>
      </c>
      <c r="I152" s="4706" t="s">
        <v>829</v>
      </c>
    </row>
    <row customHeight="1" ht="11.25">
      <c r="A153" s="4706" t="s">
        <v>2429</v>
      </c>
      <c r="B153" s="4706" t="s">
        <v>16</v>
      </c>
      <c r="C153" s="4706" t="s">
        <v>2931</v>
      </c>
      <c r="D153" s="4706" t="s">
        <v>2932</v>
      </c>
      <c r="E153" s="4706" t="s">
        <v>2933</v>
      </c>
      <c r="F153" s="4706" t="s">
        <v>2740</v>
      </c>
      <c r="G153" s="4706" t="s">
        <v>22</v>
      </c>
      <c r="H153" s="4706" t="s">
        <v>22</v>
      </c>
      <c r="I153" s="4706" t="s">
        <v>829</v>
      </c>
    </row>
    <row customHeight="1" ht="11.25">
      <c r="A154" s="4706" t="s">
        <v>2429</v>
      </c>
      <c r="B154" s="4706" t="s">
        <v>16</v>
      </c>
      <c r="C154" s="4706" t="s">
        <v>2934</v>
      </c>
      <c r="D154" s="4706" t="s">
        <v>2935</v>
      </c>
      <c r="E154" s="4706" t="s">
        <v>2936</v>
      </c>
      <c r="F154" s="4706" t="s">
        <v>2523</v>
      </c>
      <c r="G154" s="4706" t="s">
        <v>2937</v>
      </c>
      <c r="H154" s="4706" t="s">
        <v>22</v>
      </c>
      <c r="I154" s="4706" t="s">
        <v>829</v>
      </c>
    </row>
    <row customHeight="1" ht="11.25">
      <c r="A155" s="4706" t="s">
        <v>2429</v>
      </c>
      <c r="B155" s="4706" t="s">
        <v>16</v>
      </c>
      <c r="C155" s="4706" t="s">
        <v>2938</v>
      </c>
      <c r="D155" s="4706" t="s">
        <v>2939</v>
      </c>
      <c r="E155" s="4706" t="s">
        <v>2940</v>
      </c>
      <c r="F155" s="4706" t="s">
        <v>2488</v>
      </c>
      <c r="G155" s="4706" t="s">
        <v>22</v>
      </c>
      <c r="H155" s="4706" t="s">
        <v>22</v>
      </c>
      <c r="I155" s="4706" t="s">
        <v>829</v>
      </c>
    </row>
    <row customHeight="1" ht="11.25">
      <c r="A156" s="4706" t="s">
        <v>2429</v>
      </c>
      <c r="B156" s="4706" t="s">
        <v>16</v>
      </c>
      <c r="C156" s="4706" t="s">
        <v>2941</v>
      </c>
      <c r="D156" s="4706" t="s">
        <v>2942</v>
      </c>
      <c r="E156" s="4706" t="s">
        <v>2943</v>
      </c>
      <c r="F156" s="4706" t="s">
        <v>2624</v>
      </c>
      <c r="G156" s="4706" t="s">
        <v>22</v>
      </c>
      <c r="H156" s="4706" t="s">
        <v>22</v>
      </c>
      <c r="I156" s="4706" t="s">
        <v>829</v>
      </c>
    </row>
    <row customHeight="1" ht="11.25">
      <c r="A157" s="4706" t="s">
        <v>2429</v>
      </c>
      <c r="B157" s="4706" t="s">
        <v>16</v>
      </c>
      <c r="C157" s="4706" t="s">
        <v>2944</v>
      </c>
      <c r="D157" s="4706" t="s">
        <v>2945</v>
      </c>
      <c r="E157" s="4706" t="s">
        <v>2946</v>
      </c>
      <c r="F157" s="4706" t="s">
        <v>2528</v>
      </c>
      <c r="G157" s="4706" t="s">
        <v>22</v>
      </c>
      <c r="H157" s="4706" t="s">
        <v>22</v>
      </c>
      <c r="I157" s="4706" t="s">
        <v>829</v>
      </c>
    </row>
    <row customHeight="1" ht="11.25">
      <c r="A158" s="4706" t="s">
        <v>2429</v>
      </c>
      <c r="B158" s="4706" t="s">
        <v>16</v>
      </c>
      <c r="C158" s="4706" t="s">
        <v>2947</v>
      </c>
      <c r="D158" s="4706" t="s">
        <v>2948</v>
      </c>
      <c r="E158" s="4706" t="s">
        <v>2949</v>
      </c>
      <c r="F158" s="4706" t="s">
        <v>2523</v>
      </c>
      <c r="G158" s="4706" t="s">
        <v>22</v>
      </c>
      <c r="H158" s="4706" t="s">
        <v>22</v>
      </c>
      <c r="I158" s="4706" t="s">
        <v>829</v>
      </c>
    </row>
    <row customHeight="1" ht="11.25">
      <c r="A159" s="4706" t="s">
        <v>2429</v>
      </c>
      <c r="B159" s="4706" t="s">
        <v>16</v>
      </c>
      <c r="C159" s="4706" t="s">
        <v>2950</v>
      </c>
      <c r="D159" s="4706" t="s">
        <v>2951</v>
      </c>
      <c r="E159" s="4706" t="s">
        <v>2952</v>
      </c>
      <c r="F159" s="4706" t="s">
        <v>2563</v>
      </c>
      <c r="G159" s="4706" t="s">
        <v>22</v>
      </c>
      <c r="H159" s="4706" t="s">
        <v>22</v>
      </c>
      <c r="I159" s="4706" t="s">
        <v>829</v>
      </c>
    </row>
    <row customHeight="1" ht="11.25">
      <c r="A160" s="4706" t="s">
        <v>2429</v>
      </c>
      <c r="B160" s="4706" t="s">
        <v>16</v>
      </c>
      <c r="C160" s="4706" t="s">
        <v>2953</v>
      </c>
      <c r="D160" s="4706" t="s">
        <v>2954</v>
      </c>
      <c r="E160" s="4706" t="s">
        <v>2955</v>
      </c>
      <c r="F160" s="4706" t="s">
        <v>2523</v>
      </c>
      <c r="G160" s="4706" t="s">
        <v>22</v>
      </c>
      <c r="H160" s="4706" t="s">
        <v>22</v>
      </c>
      <c r="I160" s="4706" t="s">
        <v>829</v>
      </c>
    </row>
    <row customHeight="1" ht="11.25">
      <c r="A161" s="4706" t="s">
        <v>2429</v>
      </c>
      <c r="B161" s="4706" t="s">
        <v>16</v>
      </c>
      <c r="C161" s="4706" t="s">
        <v>2956</v>
      </c>
      <c r="D161" s="4706" t="s">
        <v>2957</v>
      </c>
      <c r="E161" s="4706" t="s">
        <v>2958</v>
      </c>
      <c r="F161" s="4706" t="s">
        <v>2624</v>
      </c>
      <c r="G161" s="4706" t="s">
        <v>22</v>
      </c>
      <c r="H161" s="4706" t="s">
        <v>22</v>
      </c>
      <c r="I161" s="4706" t="s">
        <v>829</v>
      </c>
    </row>
    <row customHeight="1" ht="11.25">
      <c r="A162" s="4706" t="s">
        <v>2429</v>
      </c>
      <c r="B162" s="4706" t="s">
        <v>16</v>
      </c>
      <c r="C162" s="4706" t="s">
        <v>2959</v>
      </c>
      <c r="D162" s="4706" t="s">
        <v>2957</v>
      </c>
      <c r="E162" s="4706" t="s">
        <v>2960</v>
      </c>
      <c r="F162" s="4706" t="s">
        <v>2465</v>
      </c>
      <c r="G162" s="4706" t="s">
        <v>22</v>
      </c>
      <c r="H162" s="4706" t="s">
        <v>22</v>
      </c>
      <c r="I162" s="4706" t="s">
        <v>829</v>
      </c>
    </row>
    <row customHeight="1" ht="11.25">
      <c r="A163" s="4706" t="s">
        <v>2429</v>
      </c>
      <c r="B163" s="4706" t="s">
        <v>16</v>
      </c>
      <c r="C163" s="4706" t="s">
        <v>2961</v>
      </c>
      <c r="D163" s="4706" t="s">
        <v>2962</v>
      </c>
      <c r="E163" s="4706" t="s">
        <v>2963</v>
      </c>
      <c r="F163" s="4706" t="s">
        <v>2624</v>
      </c>
      <c r="G163" s="4706" t="s">
        <v>22</v>
      </c>
      <c r="H163" s="4706" t="s">
        <v>22</v>
      </c>
      <c r="I163" s="4706" t="s">
        <v>829</v>
      </c>
    </row>
    <row customHeight="1" ht="11.25">
      <c r="A164" s="4706" t="s">
        <v>2429</v>
      </c>
      <c r="B164" s="4706" t="s">
        <v>16</v>
      </c>
      <c r="C164" s="4706" t="s">
        <v>2964</v>
      </c>
      <c r="D164" s="4706" t="s">
        <v>2965</v>
      </c>
      <c r="E164" s="4706" t="s">
        <v>2966</v>
      </c>
      <c r="F164" s="4706" t="s">
        <v>2437</v>
      </c>
      <c r="G164" s="4706" t="s">
        <v>22</v>
      </c>
      <c r="H164" s="4706" t="s">
        <v>22</v>
      </c>
      <c r="I164" s="4706" t="s">
        <v>829</v>
      </c>
    </row>
    <row customHeight="1" ht="11.25">
      <c r="A165" s="4706" t="s">
        <v>2429</v>
      </c>
      <c r="B165" s="4706" t="s">
        <v>16</v>
      </c>
      <c r="C165" s="4706" t="s">
        <v>2967</v>
      </c>
      <c r="D165" s="4706" t="s">
        <v>2968</v>
      </c>
      <c r="E165" s="4706" t="s">
        <v>2969</v>
      </c>
      <c r="F165" s="4706" t="s">
        <v>2523</v>
      </c>
      <c r="G165" s="4706" t="s">
        <v>22</v>
      </c>
      <c r="H165" s="4706" t="s">
        <v>22</v>
      </c>
      <c r="I165" s="4706" t="s">
        <v>829</v>
      </c>
    </row>
    <row customHeight="1" ht="11.25">
      <c r="A166" s="4706" t="s">
        <v>2429</v>
      </c>
      <c r="B166" s="4706" t="s">
        <v>16</v>
      </c>
      <c r="C166" s="4706" t="s">
        <v>2970</v>
      </c>
      <c r="D166" s="4706" t="s">
        <v>2971</v>
      </c>
      <c r="E166" s="4706" t="s">
        <v>2972</v>
      </c>
      <c r="F166" s="4706" t="s">
        <v>2563</v>
      </c>
      <c r="G166" s="4706" t="s">
        <v>22</v>
      </c>
      <c r="H166" s="4706" t="s">
        <v>22</v>
      </c>
      <c r="I166" s="4706" t="s">
        <v>829</v>
      </c>
    </row>
    <row customHeight="1" ht="11.25">
      <c r="A167" s="4706" t="s">
        <v>2429</v>
      </c>
      <c r="B167" s="4706" t="s">
        <v>16</v>
      </c>
      <c r="C167" s="4706" t="s">
        <v>2973</v>
      </c>
      <c r="D167" s="4706" t="s">
        <v>2974</v>
      </c>
      <c r="E167" s="4706" t="s">
        <v>2975</v>
      </c>
      <c r="F167" s="4706" t="s">
        <v>2896</v>
      </c>
      <c r="G167" s="4706" t="s">
        <v>22</v>
      </c>
      <c r="H167" s="4706" t="s">
        <v>22</v>
      </c>
      <c r="I167" s="4706" t="s">
        <v>829</v>
      </c>
    </row>
    <row customHeight="1" ht="11.25">
      <c r="A168" s="4706" t="s">
        <v>2429</v>
      </c>
      <c r="B168" s="4706" t="s">
        <v>16</v>
      </c>
      <c r="C168" s="4706" t="s">
        <v>2976</v>
      </c>
      <c r="D168" s="4706" t="s">
        <v>2977</v>
      </c>
      <c r="E168" s="4706" t="s">
        <v>2978</v>
      </c>
      <c r="F168" s="4706" t="s">
        <v>2437</v>
      </c>
      <c r="G168" s="4706" t="s">
        <v>2979</v>
      </c>
      <c r="H168" s="4706" t="s">
        <v>22</v>
      </c>
      <c r="I168" s="4706" t="s">
        <v>829</v>
      </c>
    </row>
    <row customHeight="1" ht="11.25">
      <c r="A169" s="4706" t="s">
        <v>2429</v>
      </c>
      <c r="B169" s="4706" t="s">
        <v>16</v>
      </c>
      <c r="C169" s="4706" t="s">
        <v>2980</v>
      </c>
      <c r="D169" s="4706" t="s">
        <v>2981</v>
      </c>
      <c r="E169" s="4706" t="s">
        <v>2982</v>
      </c>
      <c r="F169" s="4706" t="s">
        <v>2712</v>
      </c>
      <c r="G169" s="4706" t="s">
        <v>22</v>
      </c>
      <c r="H169" s="4706" t="s">
        <v>22</v>
      </c>
      <c r="I169" s="4706" t="s">
        <v>829</v>
      </c>
    </row>
    <row customHeight="1" ht="11.25">
      <c r="A170" s="4706" t="s">
        <v>2429</v>
      </c>
      <c r="B170" s="4706" t="s">
        <v>16</v>
      </c>
      <c r="C170" s="4706" t="s">
        <v>2983</v>
      </c>
      <c r="D170" s="4706" t="s">
        <v>2984</v>
      </c>
      <c r="E170" s="4706" t="s">
        <v>2985</v>
      </c>
      <c r="F170" s="4706" t="s">
        <v>2523</v>
      </c>
      <c r="G170" s="4706" t="s">
        <v>22</v>
      </c>
      <c r="H170" s="4706" t="s">
        <v>22</v>
      </c>
      <c r="I170" s="4706" t="s">
        <v>829</v>
      </c>
    </row>
    <row customHeight="1" ht="11.25">
      <c r="A171" s="4706" t="s">
        <v>2429</v>
      </c>
      <c r="B171" s="4706" t="s">
        <v>16</v>
      </c>
      <c r="C171" s="4706" t="s">
        <v>2986</v>
      </c>
      <c r="D171" s="4706" t="s">
        <v>2987</v>
      </c>
      <c r="E171" s="4706" t="s">
        <v>2988</v>
      </c>
      <c r="F171" s="4706" t="s">
        <v>2712</v>
      </c>
      <c r="G171" s="4706" t="s">
        <v>22</v>
      </c>
      <c r="H171" s="4706" t="s">
        <v>22</v>
      </c>
      <c r="I171" s="4706" t="s">
        <v>829</v>
      </c>
    </row>
    <row customHeight="1" ht="11.25">
      <c r="A172" s="4706" t="s">
        <v>2429</v>
      </c>
      <c r="B172" s="4706" t="s">
        <v>16</v>
      </c>
      <c r="C172" s="4706" t="s">
        <v>2989</v>
      </c>
      <c r="D172" s="4706" t="s">
        <v>2990</v>
      </c>
      <c r="E172" s="4706" t="s">
        <v>2991</v>
      </c>
      <c r="F172" s="4706" t="s">
        <v>2624</v>
      </c>
      <c r="G172" s="4706" t="s">
        <v>22</v>
      </c>
      <c r="H172" s="4706" t="s">
        <v>22</v>
      </c>
      <c r="I172" s="4706" t="s">
        <v>829</v>
      </c>
    </row>
    <row customHeight="1" ht="11.25">
      <c r="A173" s="4706" t="s">
        <v>2429</v>
      </c>
      <c r="B173" s="4706" t="s">
        <v>16</v>
      </c>
      <c r="C173" s="4706" t="s">
        <v>2992</v>
      </c>
      <c r="D173" s="4706" t="s">
        <v>2993</v>
      </c>
      <c r="E173" s="4706" t="s">
        <v>2994</v>
      </c>
      <c r="F173" s="4706" t="s">
        <v>2774</v>
      </c>
      <c r="G173" s="4706" t="s">
        <v>22</v>
      </c>
      <c r="H173" s="4706" t="s">
        <v>22</v>
      </c>
      <c r="I173" s="4706" t="s">
        <v>829</v>
      </c>
    </row>
    <row customHeight="1" ht="11.25">
      <c r="A174" s="4706" t="s">
        <v>2429</v>
      </c>
      <c r="B174" s="4706" t="s">
        <v>16</v>
      </c>
      <c r="C174" s="4706" t="s">
        <v>2995</v>
      </c>
      <c r="D174" s="4706" t="s">
        <v>2996</v>
      </c>
      <c r="E174" s="4706" t="s">
        <v>2997</v>
      </c>
      <c r="F174" s="4706" t="s">
        <v>2437</v>
      </c>
      <c r="G174" s="4706" t="s">
        <v>22</v>
      </c>
      <c r="H174" s="4706" t="s">
        <v>22</v>
      </c>
      <c r="I174" s="4706" t="s">
        <v>829</v>
      </c>
    </row>
    <row customHeight="1" ht="11.25">
      <c r="A175" s="4706" t="s">
        <v>2429</v>
      </c>
      <c r="B175" s="4706" t="s">
        <v>16</v>
      </c>
      <c r="C175" s="4706" t="s">
        <v>2998</v>
      </c>
      <c r="D175" s="4706" t="s">
        <v>2999</v>
      </c>
      <c r="E175" s="4706" t="s">
        <v>3000</v>
      </c>
      <c r="F175" s="4706" t="s">
        <v>3001</v>
      </c>
      <c r="G175" s="4706" t="s">
        <v>22</v>
      </c>
      <c r="H175" s="4706" t="s">
        <v>22</v>
      </c>
      <c r="I175" s="4706" t="s">
        <v>829</v>
      </c>
    </row>
    <row customHeight="1" ht="11.25">
      <c r="A176" s="4706" t="s">
        <v>2429</v>
      </c>
      <c r="B176" s="4706" t="s">
        <v>16</v>
      </c>
      <c r="C176" s="4706" t="s">
        <v>3002</v>
      </c>
      <c r="D176" s="4706" t="s">
        <v>3003</v>
      </c>
      <c r="E176" s="4706" t="s">
        <v>3004</v>
      </c>
      <c r="F176" s="4706" t="s">
        <v>2740</v>
      </c>
      <c r="G176" s="4706" t="s">
        <v>22</v>
      </c>
      <c r="H176" s="4706" t="s">
        <v>22</v>
      </c>
      <c r="I176" s="4706" t="s">
        <v>829</v>
      </c>
    </row>
    <row customHeight="1" ht="11.25">
      <c r="A177" s="4706" t="s">
        <v>2429</v>
      </c>
      <c r="B177" s="4706" t="s">
        <v>16</v>
      </c>
      <c r="C177" s="4706" t="s">
        <v>3005</v>
      </c>
      <c r="D177" s="4706" t="s">
        <v>3006</v>
      </c>
      <c r="E177" s="4706" t="s">
        <v>3007</v>
      </c>
      <c r="F177" s="4706" t="s">
        <v>2437</v>
      </c>
      <c r="G177" s="4706" t="s">
        <v>22</v>
      </c>
      <c r="H177" s="4706" t="s">
        <v>22</v>
      </c>
      <c r="I177" s="4706" t="s">
        <v>829</v>
      </c>
    </row>
    <row customHeight="1" ht="11.25">
      <c r="A178" s="4706" t="s">
        <v>2429</v>
      </c>
      <c r="B178" s="4706" t="s">
        <v>16</v>
      </c>
      <c r="C178" s="4706" t="s">
        <v>3008</v>
      </c>
      <c r="D178" s="4706" t="s">
        <v>3009</v>
      </c>
      <c r="E178" s="4706" t="s">
        <v>3010</v>
      </c>
      <c r="F178" s="4706" t="s">
        <v>2774</v>
      </c>
      <c r="G178" s="4706" t="s">
        <v>22</v>
      </c>
      <c r="H178" s="4706" t="s">
        <v>22</v>
      </c>
      <c r="I178" s="4706" t="s">
        <v>829</v>
      </c>
    </row>
    <row customHeight="1" ht="11.25">
      <c r="A179" s="4706" t="s">
        <v>2429</v>
      </c>
      <c r="B179" s="4706" t="s">
        <v>16</v>
      </c>
      <c r="C179" s="4706" t="s">
        <v>3011</v>
      </c>
      <c r="D179" s="4706" t="s">
        <v>3012</v>
      </c>
      <c r="E179" s="4706" t="s">
        <v>3013</v>
      </c>
      <c r="F179" s="4706" t="s">
        <v>3014</v>
      </c>
      <c r="G179" s="4706" t="s">
        <v>22</v>
      </c>
      <c r="H179" s="4706" t="s">
        <v>22</v>
      </c>
      <c r="I179" s="4706" t="s">
        <v>829</v>
      </c>
    </row>
    <row customHeight="1" ht="11.25">
      <c r="A180" s="4706" t="s">
        <v>2429</v>
      </c>
      <c r="B180" s="4706" t="s">
        <v>16</v>
      </c>
      <c r="C180" s="4706" t="s">
        <v>3015</v>
      </c>
      <c r="D180" s="4706" t="s">
        <v>3016</v>
      </c>
      <c r="E180" s="4706" t="s">
        <v>3017</v>
      </c>
      <c r="F180" s="4706" t="s">
        <v>2488</v>
      </c>
      <c r="G180" s="4706" t="s">
        <v>22</v>
      </c>
      <c r="H180" s="4706" t="s">
        <v>22</v>
      </c>
      <c r="I180" s="4706" t="s">
        <v>829</v>
      </c>
    </row>
    <row customHeight="1" ht="11.25">
      <c r="A181" s="4706" t="s">
        <v>2429</v>
      </c>
      <c r="B181" s="4706" t="s">
        <v>16</v>
      </c>
      <c r="C181" s="4706" t="s">
        <v>3018</v>
      </c>
      <c r="D181" s="4706" t="s">
        <v>3019</v>
      </c>
      <c r="E181" s="4706" t="s">
        <v>3020</v>
      </c>
      <c r="F181" s="4706" t="s">
        <v>2774</v>
      </c>
      <c r="G181" s="4706" t="s">
        <v>22</v>
      </c>
      <c r="H181" s="4706" t="s">
        <v>22</v>
      </c>
      <c r="I181" s="4706" t="s">
        <v>829</v>
      </c>
    </row>
    <row customHeight="1" ht="11.25">
      <c r="A182" s="4706" t="s">
        <v>2429</v>
      </c>
      <c r="B182" s="4706" t="s">
        <v>16</v>
      </c>
      <c r="C182" s="4706" t="s">
        <v>3021</v>
      </c>
      <c r="D182" s="4706" t="s">
        <v>3022</v>
      </c>
      <c r="E182" s="4706" t="s">
        <v>3023</v>
      </c>
      <c r="F182" s="4706" t="s">
        <v>2483</v>
      </c>
      <c r="G182" s="4706" t="s">
        <v>22</v>
      </c>
      <c r="H182" s="4706" t="s">
        <v>22</v>
      </c>
      <c r="I182" s="4706" t="s">
        <v>829</v>
      </c>
    </row>
    <row customHeight="1" ht="11.25">
      <c r="A183" s="4706" t="s">
        <v>2429</v>
      </c>
      <c r="B183" s="4706" t="s">
        <v>16</v>
      </c>
      <c r="C183" s="4706" t="s">
        <v>3024</v>
      </c>
      <c r="D183" s="4706" t="s">
        <v>3025</v>
      </c>
      <c r="E183" s="4706" t="s">
        <v>3026</v>
      </c>
      <c r="F183" s="4706" t="s">
        <v>2896</v>
      </c>
      <c r="G183" s="4706" t="s">
        <v>22</v>
      </c>
      <c r="H183" s="4706" t="s">
        <v>22</v>
      </c>
      <c r="I183" s="4706" t="s">
        <v>829</v>
      </c>
    </row>
    <row customHeight="1" ht="11.25">
      <c r="A184" s="4706" t="s">
        <v>2429</v>
      </c>
      <c r="B184" s="4706" t="s">
        <v>16</v>
      </c>
      <c r="C184" s="4706" t="s">
        <v>3027</v>
      </c>
      <c r="D184" s="4706" t="s">
        <v>3028</v>
      </c>
      <c r="E184" s="4706" t="s">
        <v>3029</v>
      </c>
      <c r="F184" s="4706" t="s">
        <v>2437</v>
      </c>
      <c r="G184" s="4706" t="s">
        <v>22</v>
      </c>
      <c r="H184" s="4706" t="s">
        <v>22</v>
      </c>
      <c r="I184" s="4706" t="s">
        <v>829</v>
      </c>
    </row>
    <row customHeight="1" ht="11.25">
      <c r="A185" s="4706" t="s">
        <v>2429</v>
      </c>
      <c r="B185" s="4706" t="s">
        <v>16</v>
      </c>
      <c r="C185" s="4706" t="s">
        <v>3030</v>
      </c>
      <c r="D185" s="4706" t="s">
        <v>3031</v>
      </c>
      <c r="E185" s="4706" t="s">
        <v>3032</v>
      </c>
      <c r="F185" s="4706" t="s">
        <v>2437</v>
      </c>
      <c r="G185" s="4706" t="s">
        <v>22</v>
      </c>
      <c r="H185" s="4706" t="s">
        <v>22</v>
      </c>
      <c r="I185" s="4706" t="s">
        <v>829</v>
      </c>
    </row>
    <row customHeight="1" ht="11.25">
      <c r="A186" s="4706" t="s">
        <v>2429</v>
      </c>
      <c r="B186" s="4706" t="s">
        <v>16</v>
      </c>
      <c r="C186" s="4706" t="s">
        <v>3033</v>
      </c>
      <c r="D186" s="4706" t="s">
        <v>3034</v>
      </c>
      <c r="E186" s="4706" t="s">
        <v>3035</v>
      </c>
      <c r="F186" s="4706" t="s">
        <v>2778</v>
      </c>
      <c r="G186" s="4706" t="s">
        <v>22</v>
      </c>
      <c r="H186" s="4706" t="s">
        <v>22</v>
      </c>
      <c r="I186" s="4706" t="s">
        <v>829</v>
      </c>
    </row>
    <row customHeight="1" ht="11.25">
      <c r="A187" s="4706" t="s">
        <v>2429</v>
      </c>
      <c r="B187" s="4706" t="s">
        <v>16</v>
      </c>
      <c r="C187" s="4706" t="s">
        <v>3036</v>
      </c>
      <c r="D187" s="4706" t="s">
        <v>3037</v>
      </c>
      <c r="E187" s="4706" t="s">
        <v>3038</v>
      </c>
      <c r="F187" s="4706" t="s">
        <v>2437</v>
      </c>
      <c r="G187" s="4706" t="s">
        <v>22</v>
      </c>
      <c r="H187" s="4706" t="s">
        <v>22</v>
      </c>
      <c r="I187" s="4706" t="s">
        <v>829</v>
      </c>
    </row>
    <row customHeight="1" ht="11.25">
      <c r="A188" s="4706" t="s">
        <v>2429</v>
      </c>
      <c r="B188" s="4706" t="s">
        <v>16</v>
      </c>
      <c r="C188" s="4706" t="s">
        <v>3039</v>
      </c>
      <c r="D188" s="4706" t="s">
        <v>3040</v>
      </c>
      <c r="E188" s="4706" t="s">
        <v>2497</v>
      </c>
      <c r="F188" s="4706" t="s">
        <v>2570</v>
      </c>
      <c r="G188" s="4706" t="s">
        <v>22</v>
      </c>
      <c r="H188" s="4706" t="s">
        <v>22</v>
      </c>
      <c r="I188" s="4706" t="s">
        <v>829</v>
      </c>
    </row>
    <row customHeight="1" ht="11.25">
      <c r="A189" s="4706" t="s">
        <v>2429</v>
      </c>
      <c r="B189" s="4706" t="s">
        <v>16</v>
      </c>
      <c r="C189" s="4706" t="s">
        <v>3041</v>
      </c>
      <c r="D189" s="4706" t="s">
        <v>3042</v>
      </c>
      <c r="E189" s="4706" t="s">
        <v>3043</v>
      </c>
      <c r="F189" s="4706" t="s">
        <v>2563</v>
      </c>
      <c r="G189" s="4706" t="s">
        <v>22</v>
      </c>
      <c r="H189" s="4706" t="s">
        <v>22</v>
      </c>
      <c r="I189" s="4706" t="s">
        <v>829</v>
      </c>
    </row>
    <row customHeight="1" ht="11.25">
      <c r="A190" s="4706" t="s">
        <v>2429</v>
      </c>
      <c r="B190" s="4706" t="s">
        <v>16</v>
      </c>
      <c r="C190" s="4706" t="s">
        <v>3044</v>
      </c>
      <c r="D190" s="4706" t="s">
        <v>3045</v>
      </c>
      <c r="E190" s="4706" t="s">
        <v>3046</v>
      </c>
      <c r="F190" s="4706" t="s">
        <v>3047</v>
      </c>
      <c r="G190" s="4706" t="s">
        <v>22</v>
      </c>
      <c r="H190" s="4706" t="s">
        <v>22</v>
      </c>
      <c r="I190" s="4706" t="s">
        <v>829</v>
      </c>
    </row>
    <row customHeight="1" ht="11.25">
      <c r="A191" s="4706" t="s">
        <v>2429</v>
      </c>
      <c r="B191" s="4706" t="s">
        <v>16</v>
      </c>
      <c r="C191" s="4706" t="s">
        <v>3048</v>
      </c>
      <c r="D191" s="4706" t="s">
        <v>3049</v>
      </c>
      <c r="E191" s="4706" t="s">
        <v>3050</v>
      </c>
      <c r="F191" s="4706" t="s">
        <v>2523</v>
      </c>
      <c r="G191" s="4706" t="s">
        <v>22</v>
      </c>
      <c r="H191" s="4706" t="s">
        <v>22</v>
      </c>
      <c r="I191" s="4706" t="s">
        <v>829</v>
      </c>
    </row>
    <row customHeight="1" ht="11.25">
      <c r="A192" s="4706" t="s">
        <v>2429</v>
      </c>
      <c r="B192" s="4706" t="s">
        <v>16</v>
      </c>
      <c r="C192" s="4706" t="s">
        <v>22</v>
      </c>
      <c r="D192" s="4706" t="s">
        <v>3051</v>
      </c>
      <c r="E192" s="4706" t="s">
        <v>3052</v>
      </c>
      <c r="F192" s="4706" t="s">
        <v>2437</v>
      </c>
      <c r="G192" s="4706" t="s">
        <v>22</v>
      </c>
      <c r="H192" s="4706" t="s">
        <v>22</v>
      </c>
      <c r="I192" s="4706" t="s">
        <v>829</v>
      </c>
    </row>
    <row customHeight="1" ht="11.25">
      <c r="A193" s="4706" t="s">
        <v>2429</v>
      </c>
      <c r="B193" s="4706" t="s">
        <v>16</v>
      </c>
      <c r="C193" s="4706" t="s">
        <v>3053</v>
      </c>
      <c r="D193" s="4706" t="s">
        <v>3054</v>
      </c>
      <c r="E193" s="4706" t="s">
        <v>3055</v>
      </c>
      <c r="F193" s="4706" t="s">
        <v>3056</v>
      </c>
      <c r="G193" s="4706" t="s">
        <v>22</v>
      </c>
      <c r="H193" s="4706" t="s">
        <v>22</v>
      </c>
      <c r="I193" s="4706" t="s">
        <v>829</v>
      </c>
    </row>
    <row customHeight="1" ht="11.25">
      <c r="A194" s="4706" t="s">
        <v>2429</v>
      </c>
      <c r="B194" s="4706" t="s">
        <v>16</v>
      </c>
      <c r="C194" s="4706" t="s">
        <v>3057</v>
      </c>
      <c r="D194" s="4706" t="s">
        <v>3058</v>
      </c>
      <c r="E194" s="4706" t="s">
        <v>3055</v>
      </c>
      <c r="F194" s="4706" t="s">
        <v>3059</v>
      </c>
      <c r="G194" s="4706" t="s">
        <v>3060</v>
      </c>
      <c r="H194" s="4706" t="s">
        <v>22</v>
      </c>
      <c r="I194" s="4706" t="s">
        <v>829</v>
      </c>
    </row>
    <row customHeight="1" ht="11.25">
      <c r="A195" s="4706" t="s">
        <v>2429</v>
      </c>
      <c r="B195" s="4706" t="s">
        <v>16</v>
      </c>
      <c r="C195" s="4706" t="s">
        <v>3061</v>
      </c>
      <c r="D195" s="4706" t="s">
        <v>3062</v>
      </c>
      <c r="E195" s="4706" t="s">
        <v>3063</v>
      </c>
      <c r="F195" s="4706" t="s">
        <v>2441</v>
      </c>
      <c r="G195" s="4706" t="s">
        <v>22</v>
      </c>
      <c r="H195" s="4706" t="s">
        <v>22</v>
      </c>
      <c r="I195" s="4706" t="s">
        <v>829</v>
      </c>
    </row>
    <row customHeight="1" ht="11.25">
      <c r="A196" s="4706" t="s">
        <v>2429</v>
      </c>
      <c r="B196" s="4706" t="s">
        <v>16</v>
      </c>
      <c r="C196" s="4706" t="s">
        <v>3064</v>
      </c>
      <c r="D196" s="4706" t="s">
        <v>3065</v>
      </c>
      <c r="E196" s="4706" t="s">
        <v>2432</v>
      </c>
      <c r="F196" s="4706" t="s">
        <v>2437</v>
      </c>
      <c r="G196" s="4706" t="s">
        <v>22</v>
      </c>
      <c r="H196" s="4706" t="s">
        <v>22</v>
      </c>
      <c r="I196" s="4706" t="s">
        <v>829</v>
      </c>
    </row>
    <row customHeight="1" ht="11.25">
      <c r="A197" s="4706" t="s">
        <v>2429</v>
      </c>
      <c r="B197" s="4706" t="s">
        <v>16</v>
      </c>
      <c r="C197" s="4706" t="s">
        <v>3066</v>
      </c>
      <c r="D197" s="4706" t="s">
        <v>3067</v>
      </c>
      <c r="E197" s="4706" t="s">
        <v>3068</v>
      </c>
      <c r="F197" s="4706" t="s">
        <v>3069</v>
      </c>
      <c r="G197" s="4706" t="s">
        <v>22</v>
      </c>
      <c r="H197" s="4706" t="s">
        <v>22</v>
      </c>
      <c r="I197" s="4706" t="s">
        <v>829</v>
      </c>
    </row>
    <row customHeight="1" ht="11.25">
      <c r="A198" s="4706" t="s">
        <v>2429</v>
      </c>
      <c r="B198" s="4706" t="s">
        <v>16</v>
      </c>
      <c r="C198" s="4706" t="s">
        <v>3070</v>
      </c>
      <c r="D198" s="4706" t="s">
        <v>3071</v>
      </c>
      <c r="E198" s="4706" t="s">
        <v>3072</v>
      </c>
      <c r="F198" s="4706" t="s">
        <v>3073</v>
      </c>
      <c r="G198" s="4706" t="s">
        <v>22</v>
      </c>
      <c r="H198" s="4706" t="s">
        <v>22</v>
      </c>
      <c r="I198" s="4706" t="s">
        <v>829</v>
      </c>
    </row>
    <row customHeight="1" ht="11.25">
      <c r="A199" s="4706" t="s">
        <v>2429</v>
      </c>
      <c r="B199" s="4706" t="s">
        <v>16</v>
      </c>
      <c r="C199" s="4706" t="s">
        <v>3074</v>
      </c>
      <c r="D199" s="4706" t="s">
        <v>3075</v>
      </c>
      <c r="E199" s="4706" t="s">
        <v>3072</v>
      </c>
      <c r="F199" s="4706" t="s">
        <v>3076</v>
      </c>
      <c r="G199" s="4706" t="s">
        <v>22</v>
      </c>
      <c r="H199" s="4706" t="s">
        <v>22</v>
      </c>
      <c r="I199" s="4706" t="s">
        <v>829</v>
      </c>
    </row>
    <row customHeight="1" ht="11.25">
      <c r="A200" s="4706" t="s">
        <v>2429</v>
      </c>
      <c r="B200" s="4706" t="s">
        <v>16</v>
      </c>
      <c r="C200" s="4706" t="s">
        <v>3077</v>
      </c>
      <c r="D200" s="4706" t="s">
        <v>3078</v>
      </c>
      <c r="E200" s="4706" t="s">
        <v>3079</v>
      </c>
      <c r="F200" s="4706" t="s">
        <v>2453</v>
      </c>
      <c r="G200" s="4706" t="s">
        <v>22</v>
      </c>
      <c r="H200" s="4706" t="s">
        <v>22</v>
      </c>
      <c r="I200" s="4706" t="s">
        <v>829</v>
      </c>
    </row>
    <row customHeight="1" ht="11.25">
      <c r="A201" s="4706" t="s">
        <v>2429</v>
      </c>
      <c r="B201" s="4706" t="s">
        <v>16</v>
      </c>
      <c r="C201" s="4706" t="s">
        <v>3080</v>
      </c>
      <c r="D201" s="4706" t="s">
        <v>3081</v>
      </c>
      <c r="E201" s="4706" t="s">
        <v>2497</v>
      </c>
      <c r="F201" s="4706" t="s">
        <v>3082</v>
      </c>
      <c r="G201" s="4706" t="s">
        <v>3083</v>
      </c>
      <c r="H201" s="4706" t="s">
        <v>22</v>
      </c>
      <c r="I201" s="4706" t="s">
        <v>829</v>
      </c>
    </row>
    <row customHeight="1" ht="11.25">
      <c r="A202" s="4706" t="s">
        <v>2429</v>
      </c>
      <c r="B202" s="4706" t="s">
        <v>16</v>
      </c>
      <c r="C202" s="4706" t="s">
        <v>2434</v>
      </c>
      <c r="D202" s="4706" t="s">
        <v>2435</v>
      </c>
      <c r="E202" s="4706" t="s">
        <v>2436</v>
      </c>
      <c r="F202" s="4706" t="s">
        <v>2437</v>
      </c>
      <c r="G202" s="4706" t="s">
        <v>22</v>
      </c>
      <c r="H202" s="4706" t="s">
        <v>22</v>
      </c>
      <c r="I202" s="4706" t="s">
        <v>915</v>
      </c>
    </row>
    <row customHeight="1" ht="11.25">
      <c r="A203" s="4706" t="s">
        <v>2429</v>
      </c>
      <c r="B203" s="4706" t="s">
        <v>16</v>
      </c>
      <c r="C203" s="4706" t="s">
        <v>2438</v>
      </c>
      <c r="D203" s="4706" t="s">
        <v>2439</v>
      </c>
      <c r="E203" s="4706" t="s">
        <v>2440</v>
      </c>
      <c r="F203" s="4706" t="s">
        <v>2441</v>
      </c>
      <c r="G203" s="4706" t="s">
        <v>22</v>
      </c>
      <c r="H203" s="4706" t="s">
        <v>22</v>
      </c>
      <c r="I203" s="4706" t="s">
        <v>915</v>
      </c>
    </row>
    <row customHeight="1" ht="11.25">
      <c r="A204" s="4706" t="s">
        <v>2429</v>
      </c>
      <c r="B204" s="4706" t="s">
        <v>16</v>
      </c>
      <c r="C204" s="4706" t="s">
        <v>13</v>
      </c>
      <c r="D204" s="4706" t="s">
        <v>46</v>
      </c>
      <c r="E204" s="4706" t="s">
        <v>49</v>
      </c>
      <c r="F204" s="4706" t="s">
        <v>51</v>
      </c>
      <c r="G204" s="4706" t="s">
        <v>22</v>
      </c>
      <c r="H204" s="4706" t="s">
        <v>22</v>
      </c>
      <c r="I204" s="4706" t="s">
        <v>915</v>
      </c>
    </row>
    <row customHeight="1" ht="11.25">
      <c r="A205" s="4706" t="s">
        <v>2429</v>
      </c>
      <c r="B205" s="4706" t="s">
        <v>16</v>
      </c>
      <c r="C205" s="4706" t="s">
        <v>2451</v>
      </c>
      <c r="D205" s="4706" t="s">
        <v>2452</v>
      </c>
      <c r="E205" s="4706" t="s">
        <v>49</v>
      </c>
      <c r="F205" s="4706" t="s">
        <v>2453</v>
      </c>
      <c r="G205" s="4706" t="s">
        <v>22</v>
      </c>
      <c r="H205" s="4706" t="s">
        <v>22</v>
      </c>
      <c r="I205" s="4706" t="s">
        <v>915</v>
      </c>
    </row>
    <row customHeight="1" ht="11.25">
      <c r="A206" s="4706" t="s">
        <v>2429</v>
      </c>
      <c r="B206" s="4706" t="s">
        <v>16</v>
      </c>
      <c r="C206" s="4706" t="s">
        <v>2458</v>
      </c>
      <c r="D206" s="4706" t="s">
        <v>2459</v>
      </c>
      <c r="E206" s="4706" t="s">
        <v>2460</v>
      </c>
      <c r="F206" s="4706" t="s">
        <v>2461</v>
      </c>
      <c r="G206" s="4706" t="s">
        <v>22</v>
      </c>
      <c r="H206" s="4706" t="s">
        <v>22</v>
      </c>
      <c r="I206" s="4706" t="s">
        <v>915</v>
      </c>
    </row>
    <row customHeight="1" ht="11.25">
      <c r="A207" s="4706" t="s">
        <v>2429</v>
      </c>
      <c r="B207" s="4706" t="s">
        <v>16</v>
      </c>
      <c r="C207" s="4706" t="s">
        <v>2480</v>
      </c>
      <c r="D207" s="4706" t="s">
        <v>2481</v>
      </c>
      <c r="E207" s="4706" t="s">
        <v>2482</v>
      </c>
      <c r="F207" s="4706" t="s">
        <v>2483</v>
      </c>
      <c r="G207" s="4706" t="s">
        <v>2484</v>
      </c>
      <c r="H207" s="4706" t="s">
        <v>22</v>
      </c>
      <c r="I207" s="4706" t="s">
        <v>915</v>
      </c>
    </row>
    <row customHeight="1" ht="11.25">
      <c r="A208" s="4706" t="s">
        <v>2429</v>
      </c>
      <c r="B208" s="4706" t="s">
        <v>16</v>
      </c>
      <c r="C208" s="4706" t="s">
        <v>2495</v>
      </c>
      <c r="D208" s="4706" t="s">
        <v>2496</v>
      </c>
      <c r="E208" s="4706" t="s">
        <v>2497</v>
      </c>
      <c r="F208" s="4706" t="s">
        <v>2461</v>
      </c>
      <c r="G208" s="4706" t="s">
        <v>22</v>
      </c>
      <c r="H208" s="4706" t="s">
        <v>22</v>
      </c>
      <c r="I208" s="4706" t="s">
        <v>915</v>
      </c>
    </row>
    <row customHeight="1" ht="11.25">
      <c r="A209" s="4706" t="s">
        <v>2429</v>
      </c>
      <c r="B209" s="4706" t="s">
        <v>16</v>
      </c>
      <c r="C209" s="4706" t="s">
        <v>2501</v>
      </c>
      <c r="D209" s="4706" t="s">
        <v>2502</v>
      </c>
      <c r="E209" s="4706" t="s">
        <v>2497</v>
      </c>
      <c r="F209" s="4706" t="s">
        <v>2503</v>
      </c>
      <c r="G209" s="4706" t="s">
        <v>22</v>
      </c>
      <c r="H209" s="4706" t="s">
        <v>22</v>
      </c>
      <c r="I209" s="4706" t="s">
        <v>915</v>
      </c>
    </row>
    <row customHeight="1" ht="11.25">
      <c r="A210" s="4706" t="s">
        <v>2429</v>
      </c>
      <c r="B210" s="4706" t="s">
        <v>16</v>
      </c>
      <c r="C210" s="4706" t="s">
        <v>2510</v>
      </c>
      <c r="D210" s="4706" t="s">
        <v>2511</v>
      </c>
      <c r="E210" s="4706" t="s">
        <v>2512</v>
      </c>
      <c r="F210" s="4706" t="s">
        <v>593</v>
      </c>
      <c r="G210" s="4706" t="s">
        <v>22</v>
      </c>
      <c r="H210" s="4706" t="s">
        <v>22</v>
      </c>
      <c r="I210" s="4706" t="s">
        <v>915</v>
      </c>
    </row>
    <row customHeight="1" ht="11.25">
      <c r="A211" s="4706" t="s">
        <v>2429</v>
      </c>
      <c r="B211" s="4706" t="s">
        <v>16</v>
      </c>
      <c r="C211" s="4706" t="s">
        <v>2533</v>
      </c>
      <c r="D211" s="4706" t="s">
        <v>2534</v>
      </c>
      <c r="E211" s="4706" t="s">
        <v>2535</v>
      </c>
      <c r="F211" s="4706" t="s">
        <v>2488</v>
      </c>
      <c r="G211" s="4706" t="s">
        <v>22</v>
      </c>
      <c r="H211" s="4706" t="s">
        <v>22</v>
      </c>
      <c r="I211" s="4706" t="s">
        <v>915</v>
      </c>
    </row>
    <row customHeight="1" ht="11.25">
      <c r="A212" s="4706" t="s">
        <v>2429</v>
      </c>
      <c r="B212" s="4706" t="s">
        <v>16</v>
      </c>
      <c r="C212" s="4706" t="s">
        <v>2536</v>
      </c>
      <c r="D212" s="4706" t="s">
        <v>2537</v>
      </c>
      <c r="E212" s="4706" t="s">
        <v>2538</v>
      </c>
      <c r="F212" s="4706" t="s">
        <v>2488</v>
      </c>
      <c r="G212" s="4706" t="s">
        <v>22</v>
      </c>
      <c r="H212" s="4706" t="s">
        <v>22</v>
      </c>
      <c r="I212" s="4706" t="s">
        <v>915</v>
      </c>
    </row>
    <row customHeight="1" ht="11.25">
      <c r="A213" s="4706" t="s">
        <v>2429</v>
      </c>
      <c r="B213" s="4706" t="s">
        <v>16</v>
      </c>
      <c r="C213" s="4706" t="s">
        <v>2539</v>
      </c>
      <c r="D213" s="4706" t="s">
        <v>2540</v>
      </c>
      <c r="E213" s="4706" t="s">
        <v>2541</v>
      </c>
      <c r="F213" s="4706" t="s">
        <v>2528</v>
      </c>
      <c r="G213" s="4706" t="s">
        <v>22</v>
      </c>
      <c r="H213" s="4706" t="s">
        <v>22</v>
      </c>
      <c r="I213" s="4706" t="s">
        <v>915</v>
      </c>
    </row>
    <row customHeight="1" ht="11.25">
      <c r="A214" s="4706" t="s">
        <v>2429</v>
      </c>
      <c r="B214" s="4706" t="s">
        <v>16</v>
      </c>
      <c r="C214" s="4706" t="s">
        <v>2542</v>
      </c>
      <c r="D214" s="4706" t="s">
        <v>2543</v>
      </c>
      <c r="E214" s="4706" t="s">
        <v>2544</v>
      </c>
      <c r="F214" s="4706" t="s">
        <v>2461</v>
      </c>
      <c r="G214" s="4706" t="s">
        <v>22</v>
      </c>
      <c r="H214" s="4706" t="s">
        <v>22</v>
      </c>
      <c r="I214" s="4706" t="s">
        <v>915</v>
      </c>
    </row>
    <row customHeight="1" ht="11.25">
      <c r="A215" s="4706" t="s">
        <v>2429</v>
      </c>
      <c r="B215" s="4706" t="s">
        <v>16</v>
      </c>
      <c r="C215" s="4706" t="s">
        <v>2549</v>
      </c>
      <c r="D215" s="4706" t="s">
        <v>2550</v>
      </c>
      <c r="E215" s="4706" t="s">
        <v>2551</v>
      </c>
      <c r="F215" s="4706" t="s">
        <v>2548</v>
      </c>
      <c r="G215" s="4706" t="s">
        <v>22</v>
      </c>
      <c r="H215" s="4706" t="s">
        <v>22</v>
      </c>
      <c r="I215" s="4706" t="s">
        <v>915</v>
      </c>
    </row>
    <row customHeight="1" ht="11.25">
      <c r="A216" s="4706" t="s">
        <v>2429</v>
      </c>
      <c r="B216" s="4706" t="s">
        <v>16</v>
      </c>
      <c r="C216" s="4706" t="s">
        <v>2573</v>
      </c>
      <c r="D216" s="4706" t="s">
        <v>2574</v>
      </c>
      <c r="E216" s="4706" t="s">
        <v>2575</v>
      </c>
      <c r="F216" s="4706" t="s">
        <v>2576</v>
      </c>
      <c r="G216" s="4706" t="s">
        <v>22</v>
      </c>
      <c r="H216" s="4706" t="s">
        <v>22</v>
      </c>
      <c r="I216" s="4706" t="s">
        <v>915</v>
      </c>
    </row>
    <row customHeight="1" ht="11.25">
      <c r="A217" s="4706" t="s">
        <v>2429</v>
      </c>
      <c r="B217" s="4706" t="s">
        <v>16</v>
      </c>
      <c r="C217" s="4706" t="s">
        <v>2580</v>
      </c>
      <c r="D217" s="4706" t="s">
        <v>2581</v>
      </c>
      <c r="E217" s="4706" t="s">
        <v>2582</v>
      </c>
      <c r="F217" s="4706" t="s">
        <v>2583</v>
      </c>
      <c r="G217" s="4706" t="s">
        <v>22</v>
      </c>
      <c r="H217" s="4706" t="s">
        <v>22</v>
      </c>
      <c r="I217" s="4706" t="s">
        <v>915</v>
      </c>
    </row>
    <row customHeight="1" ht="11.25">
      <c r="A218" s="4706" t="s">
        <v>2429</v>
      </c>
      <c r="B218" s="4706" t="s">
        <v>16</v>
      </c>
      <c r="C218" s="4706" t="s">
        <v>2603</v>
      </c>
      <c r="D218" s="4706" t="s">
        <v>2604</v>
      </c>
      <c r="E218" s="4706" t="s">
        <v>2605</v>
      </c>
      <c r="F218" s="4706" t="s">
        <v>2461</v>
      </c>
      <c r="G218" s="4706" t="s">
        <v>22</v>
      </c>
      <c r="H218" s="4706" t="s">
        <v>22</v>
      </c>
      <c r="I218" s="4706" t="s">
        <v>915</v>
      </c>
    </row>
    <row customHeight="1" ht="11.25">
      <c r="A219" s="4706" t="s">
        <v>2429</v>
      </c>
      <c r="B219" s="4706" t="s">
        <v>16</v>
      </c>
      <c r="C219" s="4706" t="s">
        <v>2609</v>
      </c>
      <c r="D219" s="4706" t="s">
        <v>2610</v>
      </c>
      <c r="E219" s="4706" t="s">
        <v>2611</v>
      </c>
      <c r="F219" s="4706" t="s">
        <v>2437</v>
      </c>
      <c r="G219" s="4706" t="s">
        <v>22</v>
      </c>
      <c r="H219" s="4706" t="s">
        <v>22</v>
      </c>
      <c r="I219" s="4706" t="s">
        <v>915</v>
      </c>
    </row>
    <row customHeight="1" ht="11.25">
      <c r="A220" s="4706" t="s">
        <v>2429</v>
      </c>
      <c r="B220" s="4706" t="s">
        <v>16</v>
      </c>
      <c r="C220" s="4706" t="s">
        <v>2625</v>
      </c>
      <c r="D220" s="4706" t="s">
        <v>2626</v>
      </c>
      <c r="E220" s="4706" t="s">
        <v>2627</v>
      </c>
      <c r="F220" s="4706" t="s">
        <v>2437</v>
      </c>
      <c r="G220" s="4706" t="s">
        <v>22</v>
      </c>
      <c r="H220" s="4706" t="s">
        <v>22</v>
      </c>
      <c r="I220" s="4706" t="s">
        <v>915</v>
      </c>
    </row>
    <row customHeight="1" ht="11.25">
      <c r="A221" s="4706" t="s">
        <v>2429</v>
      </c>
      <c r="B221" s="4706" t="s">
        <v>16</v>
      </c>
      <c r="C221" s="4706" t="s">
        <v>2637</v>
      </c>
      <c r="D221" s="4706" t="s">
        <v>2638</v>
      </c>
      <c r="E221" s="4706" t="s">
        <v>2639</v>
      </c>
      <c r="F221" s="4706" t="s">
        <v>2624</v>
      </c>
      <c r="G221" s="4706" t="s">
        <v>22</v>
      </c>
      <c r="H221" s="4706" t="s">
        <v>22</v>
      </c>
      <c r="I221" s="4706" t="s">
        <v>915</v>
      </c>
    </row>
    <row customHeight="1" ht="11.25">
      <c r="A222" s="4706" t="s">
        <v>2429</v>
      </c>
      <c r="B222" s="4706" t="s">
        <v>16</v>
      </c>
      <c r="C222" s="4706" t="s">
        <v>2640</v>
      </c>
      <c r="D222" s="4706" t="s">
        <v>2641</v>
      </c>
      <c r="E222" s="4706" t="s">
        <v>2642</v>
      </c>
      <c r="F222" s="4706" t="s">
        <v>2643</v>
      </c>
      <c r="G222" s="4706" t="s">
        <v>22</v>
      </c>
      <c r="H222" s="4706" t="s">
        <v>22</v>
      </c>
      <c r="I222" s="4706" t="s">
        <v>915</v>
      </c>
    </row>
    <row customHeight="1" ht="11.25">
      <c r="A223" s="4706" t="s">
        <v>2429</v>
      </c>
      <c r="B223" s="4706" t="s">
        <v>16</v>
      </c>
      <c r="C223" s="4706" t="s">
        <v>2644</v>
      </c>
      <c r="D223" s="4706" t="s">
        <v>2645</v>
      </c>
      <c r="E223" s="4706" t="s">
        <v>2646</v>
      </c>
      <c r="F223" s="4706" t="s">
        <v>2643</v>
      </c>
      <c r="G223" s="4706" t="s">
        <v>22</v>
      </c>
      <c r="H223" s="4706" t="s">
        <v>22</v>
      </c>
      <c r="I223" s="4706" t="s">
        <v>915</v>
      </c>
    </row>
    <row customHeight="1" ht="11.25">
      <c r="A224" s="4706" t="s">
        <v>2429</v>
      </c>
      <c r="B224" s="4706" t="s">
        <v>16</v>
      </c>
      <c r="C224" s="4706" t="s">
        <v>2654</v>
      </c>
      <c r="D224" s="4706" t="s">
        <v>2655</v>
      </c>
      <c r="E224" s="4706" t="s">
        <v>2656</v>
      </c>
      <c r="F224" s="4706" t="s">
        <v>2437</v>
      </c>
      <c r="G224" s="4706" t="s">
        <v>22</v>
      </c>
      <c r="H224" s="4706" t="s">
        <v>22</v>
      </c>
      <c r="I224" s="4706" t="s">
        <v>915</v>
      </c>
    </row>
    <row customHeight="1" ht="11.25">
      <c r="A225" s="4706" t="s">
        <v>2429</v>
      </c>
      <c r="B225" s="4706" t="s">
        <v>16</v>
      </c>
      <c r="C225" s="4706" t="s">
        <v>2663</v>
      </c>
      <c r="D225" s="4706" t="s">
        <v>2664</v>
      </c>
      <c r="E225" s="4706" t="s">
        <v>2665</v>
      </c>
      <c r="F225" s="4706" t="s">
        <v>2666</v>
      </c>
      <c r="G225" s="4706" t="s">
        <v>2667</v>
      </c>
      <c r="H225" s="4706" t="s">
        <v>22</v>
      </c>
      <c r="I225" s="4706" t="s">
        <v>915</v>
      </c>
    </row>
    <row customHeight="1" ht="11.25">
      <c r="A226" s="4706" t="s">
        <v>2429</v>
      </c>
      <c r="B226" s="4706" t="s">
        <v>16</v>
      </c>
      <c r="C226" s="4706" t="s">
        <v>2671</v>
      </c>
      <c r="D226" s="4706" t="s">
        <v>2672</v>
      </c>
      <c r="E226" s="4706" t="s">
        <v>2673</v>
      </c>
      <c r="F226" s="4706" t="s">
        <v>2563</v>
      </c>
      <c r="G226" s="4706" t="s">
        <v>22</v>
      </c>
      <c r="H226" s="4706" t="s">
        <v>22</v>
      </c>
      <c r="I226" s="4706" t="s">
        <v>915</v>
      </c>
    </row>
    <row customHeight="1" ht="11.25">
      <c r="A227" s="4706" t="s">
        <v>2429</v>
      </c>
      <c r="B227" s="4706" t="s">
        <v>16</v>
      </c>
      <c r="C227" s="4706" t="s">
        <v>3084</v>
      </c>
      <c r="D227" s="4706" t="s">
        <v>3085</v>
      </c>
      <c r="E227" s="4706" t="s">
        <v>3086</v>
      </c>
      <c r="F227" s="4706" t="s">
        <v>2666</v>
      </c>
      <c r="G227" s="4706" t="s">
        <v>22</v>
      </c>
      <c r="H227" s="4706" t="s">
        <v>22</v>
      </c>
      <c r="I227" s="4706" t="s">
        <v>915</v>
      </c>
    </row>
    <row customHeight="1" ht="11.25">
      <c r="A228" s="4706" t="s">
        <v>2429</v>
      </c>
      <c r="B228" s="4706" t="s">
        <v>16</v>
      </c>
      <c r="C228" s="4706" t="s">
        <v>3087</v>
      </c>
      <c r="D228" s="4706" t="s">
        <v>3088</v>
      </c>
      <c r="E228" s="4706" t="s">
        <v>3089</v>
      </c>
      <c r="F228" s="4706" t="s">
        <v>2896</v>
      </c>
      <c r="G228" s="4706" t="s">
        <v>22</v>
      </c>
      <c r="H228" s="4706" t="s">
        <v>22</v>
      </c>
      <c r="I228" s="4706" t="s">
        <v>915</v>
      </c>
    </row>
    <row customHeight="1" ht="11.25">
      <c r="A229" s="4706" t="s">
        <v>2429</v>
      </c>
      <c r="B229" s="4706" t="s">
        <v>16</v>
      </c>
      <c r="C229" s="4706" t="s">
        <v>2696</v>
      </c>
      <c r="D229" s="4706" t="s">
        <v>2697</v>
      </c>
      <c r="E229" s="4706" t="s">
        <v>2698</v>
      </c>
      <c r="F229" s="4706" t="s">
        <v>2528</v>
      </c>
      <c r="G229" s="4706" t="s">
        <v>2699</v>
      </c>
      <c r="H229" s="4706" t="s">
        <v>22</v>
      </c>
      <c r="I229" s="4706" t="s">
        <v>915</v>
      </c>
    </row>
    <row customHeight="1" ht="11.25">
      <c r="A230" s="4706" t="s">
        <v>2429</v>
      </c>
      <c r="B230" s="4706" t="s">
        <v>16</v>
      </c>
      <c r="C230" s="4706" t="s">
        <v>2706</v>
      </c>
      <c r="D230" s="4706" t="s">
        <v>2707</v>
      </c>
      <c r="E230" s="4706" t="s">
        <v>2708</v>
      </c>
      <c r="F230" s="4706" t="s">
        <v>2532</v>
      </c>
      <c r="G230" s="4706" t="s">
        <v>22</v>
      </c>
      <c r="H230" s="4706" t="s">
        <v>22</v>
      </c>
      <c r="I230" s="4706" t="s">
        <v>915</v>
      </c>
    </row>
    <row customHeight="1" ht="11.25">
      <c r="A231" s="4706" t="s">
        <v>2429</v>
      </c>
      <c r="B231" s="4706" t="s">
        <v>16</v>
      </c>
      <c r="C231" s="4706" t="s">
        <v>2709</v>
      </c>
      <c r="D231" s="4706" t="s">
        <v>2710</v>
      </c>
      <c r="E231" s="4706" t="s">
        <v>2711</v>
      </c>
      <c r="F231" s="4706" t="s">
        <v>2712</v>
      </c>
      <c r="G231" s="4706" t="s">
        <v>22</v>
      </c>
      <c r="H231" s="4706" t="s">
        <v>22</v>
      </c>
      <c r="I231" s="4706" t="s">
        <v>915</v>
      </c>
    </row>
    <row customHeight="1" ht="11.25">
      <c r="A232" s="4706" t="s">
        <v>2429</v>
      </c>
      <c r="B232" s="4706" t="s">
        <v>16</v>
      </c>
      <c r="C232" s="4706" t="s">
        <v>2713</v>
      </c>
      <c r="D232" s="4706" t="s">
        <v>2714</v>
      </c>
      <c r="E232" s="4706" t="s">
        <v>2715</v>
      </c>
      <c r="F232" s="4706" t="s">
        <v>2437</v>
      </c>
      <c r="G232" s="4706" t="s">
        <v>2716</v>
      </c>
      <c r="H232" s="4706" t="s">
        <v>22</v>
      </c>
      <c r="I232" s="4706" t="s">
        <v>915</v>
      </c>
    </row>
    <row customHeight="1" ht="11.25">
      <c r="A233" s="4706" t="s">
        <v>2429</v>
      </c>
      <c r="B233" s="4706" t="s">
        <v>16</v>
      </c>
      <c r="C233" s="4706" t="s">
        <v>2726</v>
      </c>
      <c r="D233" s="4706" t="s">
        <v>2727</v>
      </c>
      <c r="E233" s="4706" t="s">
        <v>2728</v>
      </c>
      <c r="F233" s="4706" t="s">
        <v>2461</v>
      </c>
      <c r="G233" s="4706" t="s">
        <v>2729</v>
      </c>
      <c r="H233" s="4706" t="s">
        <v>22</v>
      </c>
      <c r="I233" s="4706" t="s">
        <v>915</v>
      </c>
    </row>
    <row customHeight="1" ht="11.25">
      <c r="A234" s="4706" t="s">
        <v>2429</v>
      </c>
      <c r="B234" s="4706" t="s">
        <v>16</v>
      </c>
      <c r="C234" s="4706" t="s">
        <v>2730</v>
      </c>
      <c r="D234" s="4706" t="s">
        <v>2731</v>
      </c>
      <c r="E234" s="4706" t="s">
        <v>2732</v>
      </c>
      <c r="F234" s="4706" t="s">
        <v>2437</v>
      </c>
      <c r="G234" s="4706" t="s">
        <v>2733</v>
      </c>
      <c r="H234" s="4706" t="s">
        <v>22</v>
      </c>
      <c r="I234" s="4706" t="s">
        <v>915</v>
      </c>
    </row>
    <row customHeight="1" ht="11.25">
      <c r="A235" s="4706" t="s">
        <v>2429</v>
      </c>
      <c r="B235" s="4706" t="s">
        <v>16</v>
      </c>
      <c r="C235" s="4706" t="s">
        <v>2741</v>
      </c>
      <c r="D235" s="4706" t="s">
        <v>2742</v>
      </c>
      <c r="E235" s="4706" t="s">
        <v>2743</v>
      </c>
      <c r="F235" s="4706" t="s">
        <v>2441</v>
      </c>
      <c r="G235" s="4706" t="s">
        <v>22</v>
      </c>
      <c r="H235" s="4706" t="s">
        <v>22</v>
      </c>
      <c r="I235" s="4706" t="s">
        <v>915</v>
      </c>
    </row>
    <row customHeight="1" ht="11.25">
      <c r="A236" s="4706" t="s">
        <v>2429</v>
      </c>
      <c r="B236" s="4706" t="s">
        <v>16</v>
      </c>
      <c r="C236" s="4706" t="s">
        <v>2744</v>
      </c>
      <c r="D236" s="4706" t="s">
        <v>2745</v>
      </c>
      <c r="E236" s="4706" t="s">
        <v>2746</v>
      </c>
      <c r="F236" s="4706" t="s">
        <v>2523</v>
      </c>
      <c r="G236" s="4706" t="s">
        <v>2747</v>
      </c>
      <c r="H236" s="4706" t="s">
        <v>22</v>
      </c>
      <c r="I236" s="4706" t="s">
        <v>915</v>
      </c>
    </row>
    <row customHeight="1" ht="11.25">
      <c r="A237" s="4706" t="s">
        <v>2429</v>
      </c>
      <c r="B237" s="4706" t="s">
        <v>16</v>
      </c>
      <c r="C237" s="4706" t="s">
        <v>2765</v>
      </c>
      <c r="D237" s="4706" t="s">
        <v>2766</v>
      </c>
      <c r="E237" s="4706" t="s">
        <v>2767</v>
      </c>
      <c r="F237" s="4706" t="s">
        <v>2624</v>
      </c>
      <c r="G237" s="4706" t="s">
        <v>22</v>
      </c>
      <c r="H237" s="4706" t="s">
        <v>22</v>
      </c>
      <c r="I237" s="4706" t="s">
        <v>915</v>
      </c>
    </row>
    <row customHeight="1" ht="11.25">
      <c r="A238" s="4706" t="s">
        <v>2429</v>
      </c>
      <c r="B238" s="4706" t="s">
        <v>16</v>
      </c>
      <c r="C238" s="4706" t="s">
        <v>2782</v>
      </c>
      <c r="D238" s="4706" t="s">
        <v>2783</v>
      </c>
      <c r="E238" s="4706" t="s">
        <v>2784</v>
      </c>
      <c r="F238" s="4706" t="s">
        <v>2465</v>
      </c>
      <c r="G238" s="4706" t="s">
        <v>22</v>
      </c>
      <c r="H238" s="4706" t="s">
        <v>22</v>
      </c>
      <c r="I238" s="4706" t="s">
        <v>915</v>
      </c>
    </row>
    <row customHeight="1" ht="11.25">
      <c r="A239" s="4706" t="s">
        <v>2429</v>
      </c>
      <c r="B239" s="4706" t="s">
        <v>16</v>
      </c>
      <c r="C239" s="4706" t="s">
        <v>2793</v>
      </c>
      <c r="D239" s="4706" t="s">
        <v>2794</v>
      </c>
      <c r="E239" s="4706" t="s">
        <v>2795</v>
      </c>
      <c r="F239" s="4706" t="s">
        <v>2437</v>
      </c>
      <c r="G239" s="4706" t="s">
        <v>22</v>
      </c>
      <c r="H239" s="4706" t="s">
        <v>22</v>
      </c>
      <c r="I239" s="4706" t="s">
        <v>915</v>
      </c>
    </row>
    <row customHeight="1" ht="11.25">
      <c r="A240" s="4706" t="s">
        <v>2429</v>
      </c>
      <c r="B240" s="4706" t="s">
        <v>16</v>
      </c>
      <c r="C240" s="4706" t="s">
        <v>2796</v>
      </c>
      <c r="D240" s="4706" t="s">
        <v>2797</v>
      </c>
      <c r="E240" s="4706" t="s">
        <v>2798</v>
      </c>
      <c r="F240" s="4706" t="s">
        <v>2437</v>
      </c>
      <c r="G240" s="4706" t="s">
        <v>2799</v>
      </c>
      <c r="H240" s="4706" t="s">
        <v>22</v>
      </c>
      <c r="I240" s="4706" t="s">
        <v>915</v>
      </c>
    </row>
    <row customHeight="1" ht="11.25">
      <c r="A241" s="4706" t="s">
        <v>2429</v>
      </c>
      <c r="B241" s="4706" t="s">
        <v>16</v>
      </c>
      <c r="C241" s="4706" t="s">
        <v>2813</v>
      </c>
      <c r="D241" s="4706" t="s">
        <v>2814</v>
      </c>
      <c r="E241" s="4706" t="s">
        <v>2815</v>
      </c>
      <c r="F241" s="4706" t="s">
        <v>2548</v>
      </c>
      <c r="G241" s="4706" t="s">
        <v>22</v>
      </c>
      <c r="H241" s="4706" t="s">
        <v>22</v>
      </c>
      <c r="I241" s="4706" t="s">
        <v>915</v>
      </c>
    </row>
    <row customHeight="1" ht="11.25">
      <c r="A242" s="4706" t="s">
        <v>2429</v>
      </c>
      <c r="B242" s="4706" t="s">
        <v>16</v>
      </c>
      <c r="C242" s="4706" t="s">
        <v>2819</v>
      </c>
      <c r="D242" s="4706" t="s">
        <v>2820</v>
      </c>
      <c r="E242" s="4706" t="s">
        <v>2821</v>
      </c>
      <c r="F242" s="4706" t="s">
        <v>2822</v>
      </c>
      <c r="G242" s="4706" t="s">
        <v>22</v>
      </c>
      <c r="H242" s="4706" t="s">
        <v>22</v>
      </c>
      <c r="I242" s="4706" t="s">
        <v>915</v>
      </c>
    </row>
    <row customHeight="1" ht="11.25">
      <c r="A243" s="4706" t="s">
        <v>2429</v>
      </c>
      <c r="B243" s="4706" t="s">
        <v>16</v>
      </c>
      <c r="C243" s="4706" t="s">
        <v>2830</v>
      </c>
      <c r="D243" s="4706" t="s">
        <v>2831</v>
      </c>
      <c r="E243" s="4706" t="s">
        <v>2832</v>
      </c>
      <c r="F243" s="4706" t="s">
        <v>2666</v>
      </c>
      <c r="G243" s="4706" t="s">
        <v>22</v>
      </c>
      <c r="H243" s="4706" t="s">
        <v>22</v>
      </c>
      <c r="I243" s="4706" t="s">
        <v>915</v>
      </c>
    </row>
    <row customHeight="1" ht="11.25">
      <c r="A244" s="4706" t="s">
        <v>2429</v>
      </c>
      <c r="B244" s="4706" t="s">
        <v>16</v>
      </c>
      <c r="C244" s="4706" t="s">
        <v>2836</v>
      </c>
      <c r="D244" s="4706" t="s">
        <v>2837</v>
      </c>
      <c r="E244" s="4706" t="s">
        <v>2838</v>
      </c>
      <c r="F244" s="4706" t="s">
        <v>2437</v>
      </c>
      <c r="G244" s="4706" t="s">
        <v>22</v>
      </c>
      <c r="H244" s="4706" t="s">
        <v>22</v>
      </c>
      <c r="I244" s="4706" t="s">
        <v>915</v>
      </c>
    </row>
    <row customHeight="1" ht="11.25">
      <c r="A245" s="4706" t="s">
        <v>2429</v>
      </c>
      <c r="B245" s="4706" t="s">
        <v>16</v>
      </c>
      <c r="C245" s="4706" t="s">
        <v>2848</v>
      </c>
      <c r="D245" s="4706" t="s">
        <v>2849</v>
      </c>
      <c r="E245" s="4706" t="s">
        <v>2850</v>
      </c>
      <c r="F245" s="4706" t="s">
        <v>2437</v>
      </c>
      <c r="G245" s="4706" t="s">
        <v>2851</v>
      </c>
      <c r="H245" s="4706" t="s">
        <v>22</v>
      </c>
      <c r="I245" s="4706" t="s">
        <v>915</v>
      </c>
    </row>
    <row customHeight="1" ht="11.25">
      <c r="A246" s="4706" t="s">
        <v>2429</v>
      </c>
      <c r="B246" s="4706" t="s">
        <v>16</v>
      </c>
      <c r="C246" s="4706" t="s">
        <v>2872</v>
      </c>
      <c r="D246" s="4706" t="s">
        <v>2873</v>
      </c>
      <c r="E246" s="4706" t="s">
        <v>2874</v>
      </c>
      <c r="F246" s="4706" t="s">
        <v>2437</v>
      </c>
      <c r="G246" s="4706" t="s">
        <v>22</v>
      </c>
      <c r="H246" s="4706" t="s">
        <v>22</v>
      </c>
      <c r="I246" s="4706" t="s">
        <v>915</v>
      </c>
    </row>
    <row customHeight="1" ht="11.25">
      <c r="A247" s="4706" t="s">
        <v>2429</v>
      </c>
      <c r="B247" s="4706" t="s">
        <v>16</v>
      </c>
      <c r="C247" s="4706" t="s">
        <v>2875</v>
      </c>
      <c r="D247" s="4706" t="s">
        <v>2873</v>
      </c>
      <c r="E247" s="4706" t="s">
        <v>2874</v>
      </c>
      <c r="F247" s="4706" t="s">
        <v>2548</v>
      </c>
      <c r="G247" s="4706" t="s">
        <v>2876</v>
      </c>
      <c r="H247" s="4706" t="s">
        <v>22</v>
      </c>
      <c r="I247" s="4706" t="s">
        <v>915</v>
      </c>
    </row>
    <row customHeight="1" ht="11.25">
      <c r="A248" s="4706" t="s">
        <v>2429</v>
      </c>
      <c r="B248" s="4706" t="s">
        <v>16</v>
      </c>
      <c r="C248" s="4706" t="s">
        <v>2880</v>
      </c>
      <c r="D248" s="4706" t="s">
        <v>2881</v>
      </c>
      <c r="E248" s="4706" t="s">
        <v>2882</v>
      </c>
      <c r="F248" s="4706" t="s">
        <v>2437</v>
      </c>
      <c r="G248" s="4706" t="s">
        <v>22</v>
      </c>
      <c r="H248" s="4706" t="s">
        <v>22</v>
      </c>
      <c r="I248" s="4706" t="s">
        <v>915</v>
      </c>
    </row>
    <row customHeight="1" ht="11.25">
      <c r="A249" s="4706" t="s">
        <v>2429</v>
      </c>
      <c r="B249" s="4706" t="s">
        <v>16</v>
      </c>
      <c r="C249" s="4706" t="s">
        <v>2893</v>
      </c>
      <c r="D249" s="4706" t="s">
        <v>2894</v>
      </c>
      <c r="E249" s="4706" t="s">
        <v>2895</v>
      </c>
      <c r="F249" s="4706" t="s">
        <v>2896</v>
      </c>
      <c r="G249" s="4706" t="s">
        <v>22</v>
      </c>
      <c r="H249" s="4706" t="s">
        <v>22</v>
      </c>
      <c r="I249" s="4706" t="s">
        <v>915</v>
      </c>
    </row>
    <row customHeight="1" ht="11.25">
      <c r="A250" s="4706" t="s">
        <v>2429</v>
      </c>
      <c r="B250" s="4706" t="s">
        <v>16</v>
      </c>
      <c r="C250" s="4706" t="s">
        <v>2897</v>
      </c>
      <c r="D250" s="4706" t="s">
        <v>2898</v>
      </c>
      <c r="E250" s="4706" t="s">
        <v>2899</v>
      </c>
      <c r="F250" s="4706" t="s">
        <v>2896</v>
      </c>
      <c r="G250" s="4706" t="s">
        <v>22</v>
      </c>
      <c r="H250" s="4706" t="s">
        <v>22</v>
      </c>
      <c r="I250" s="4706" t="s">
        <v>915</v>
      </c>
    </row>
    <row customHeight="1" ht="11.25">
      <c r="A251" s="4706" t="s">
        <v>2429</v>
      </c>
      <c r="B251" s="4706" t="s">
        <v>16</v>
      </c>
      <c r="C251" s="4706" t="s">
        <v>2900</v>
      </c>
      <c r="D251" s="4706" t="s">
        <v>2901</v>
      </c>
      <c r="E251" s="4706" t="s">
        <v>2902</v>
      </c>
      <c r="F251" s="4706" t="s">
        <v>2774</v>
      </c>
      <c r="G251" s="4706" t="s">
        <v>22</v>
      </c>
      <c r="H251" s="4706" t="s">
        <v>22</v>
      </c>
      <c r="I251" s="4706" t="s">
        <v>915</v>
      </c>
    </row>
    <row customHeight="1" ht="11.25">
      <c r="A252" s="4706" t="s">
        <v>2429</v>
      </c>
      <c r="B252" s="4706" t="s">
        <v>16</v>
      </c>
      <c r="C252" s="4706" t="s">
        <v>2915</v>
      </c>
      <c r="D252" s="4706" t="s">
        <v>2916</v>
      </c>
      <c r="E252" s="4706" t="s">
        <v>2917</v>
      </c>
      <c r="F252" s="4706" t="s">
        <v>2437</v>
      </c>
      <c r="G252" s="4706" t="s">
        <v>22</v>
      </c>
      <c r="H252" s="4706" t="s">
        <v>22</v>
      </c>
      <c r="I252" s="4706" t="s">
        <v>915</v>
      </c>
    </row>
    <row customHeight="1" ht="11.25">
      <c r="A253" s="4706" t="s">
        <v>2429</v>
      </c>
      <c r="B253" s="4706" t="s">
        <v>16</v>
      </c>
      <c r="C253" s="4706" t="s">
        <v>2925</v>
      </c>
      <c r="D253" s="4706" t="s">
        <v>2926</v>
      </c>
      <c r="E253" s="4706" t="s">
        <v>2927</v>
      </c>
      <c r="F253" s="4706" t="s">
        <v>2437</v>
      </c>
      <c r="G253" s="4706" t="s">
        <v>22</v>
      </c>
      <c r="H253" s="4706" t="s">
        <v>22</v>
      </c>
      <c r="I253" s="4706" t="s">
        <v>915</v>
      </c>
    </row>
    <row customHeight="1" ht="11.25">
      <c r="A254" s="4706" t="s">
        <v>2429</v>
      </c>
      <c r="B254" s="4706" t="s">
        <v>16</v>
      </c>
      <c r="C254" s="4706" t="s">
        <v>2934</v>
      </c>
      <c r="D254" s="4706" t="s">
        <v>2935</v>
      </c>
      <c r="E254" s="4706" t="s">
        <v>2936</v>
      </c>
      <c r="F254" s="4706" t="s">
        <v>2523</v>
      </c>
      <c r="G254" s="4706" t="s">
        <v>2937</v>
      </c>
      <c r="H254" s="4706" t="s">
        <v>22</v>
      </c>
      <c r="I254" s="4706" t="s">
        <v>915</v>
      </c>
    </row>
    <row customHeight="1" ht="11.25">
      <c r="A255" s="4706" t="s">
        <v>2429</v>
      </c>
      <c r="B255" s="4706" t="s">
        <v>16</v>
      </c>
      <c r="C255" s="4706" t="s">
        <v>2938</v>
      </c>
      <c r="D255" s="4706" t="s">
        <v>2939</v>
      </c>
      <c r="E255" s="4706" t="s">
        <v>2940</v>
      </c>
      <c r="F255" s="4706" t="s">
        <v>2488</v>
      </c>
      <c r="G255" s="4706" t="s">
        <v>22</v>
      </c>
      <c r="H255" s="4706" t="s">
        <v>22</v>
      </c>
      <c r="I255" s="4706" t="s">
        <v>915</v>
      </c>
    </row>
    <row customHeight="1" ht="11.25">
      <c r="A256" s="4706" t="s">
        <v>2429</v>
      </c>
      <c r="B256" s="4706" t="s">
        <v>16</v>
      </c>
      <c r="C256" s="4706" t="s">
        <v>2941</v>
      </c>
      <c r="D256" s="4706" t="s">
        <v>2942</v>
      </c>
      <c r="E256" s="4706" t="s">
        <v>2943</v>
      </c>
      <c r="F256" s="4706" t="s">
        <v>2624</v>
      </c>
      <c r="G256" s="4706" t="s">
        <v>22</v>
      </c>
      <c r="H256" s="4706" t="s">
        <v>22</v>
      </c>
      <c r="I256" s="4706" t="s">
        <v>915</v>
      </c>
    </row>
    <row customHeight="1" ht="11.25">
      <c r="A257" s="4706" t="s">
        <v>2429</v>
      </c>
      <c r="B257" s="4706" t="s">
        <v>16</v>
      </c>
      <c r="C257" s="4706" t="s">
        <v>2944</v>
      </c>
      <c r="D257" s="4706" t="s">
        <v>2945</v>
      </c>
      <c r="E257" s="4706" t="s">
        <v>2946</v>
      </c>
      <c r="F257" s="4706" t="s">
        <v>2528</v>
      </c>
      <c r="G257" s="4706" t="s">
        <v>22</v>
      </c>
      <c r="H257" s="4706" t="s">
        <v>22</v>
      </c>
      <c r="I257" s="4706" t="s">
        <v>915</v>
      </c>
    </row>
    <row customHeight="1" ht="11.25">
      <c r="A258" s="4706" t="s">
        <v>2429</v>
      </c>
      <c r="B258" s="4706" t="s">
        <v>16</v>
      </c>
      <c r="C258" s="4706" t="s">
        <v>2950</v>
      </c>
      <c r="D258" s="4706" t="s">
        <v>2951</v>
      </c>
      <c r="E258" s="4706" t="s">
        <v>2952</v>
      </c>
      <c r="F258" s="4706" t="s">
        <v>2563</v>
      </c>
      <c r="G258" s="4706" t="s">
        <v>22</v>
      </c>
      <c r="H258" s="4706" t="s">
        <v>22</v>
      </c>
      <c r="I258" s="4706" t="s">
        <v>915</v>
      </c>
    </row>
    <row customHeight="1" ht="11.25">
      <c r="A259" s="4706" t="s">
        <v>2429</v>
      </c>
      <c r="B259" s="4706" t="s">
        <v>16</v>
      </c>
      <c r="C259" s="4706" t="s">
        <v>2956</v>
      </c>
      <c r="D259" s="4706" t="s">
        <v>2957</v>
      </c>
      <c r="E259" s="4706" t="s">
        <v>2958</v>
      </c>
      <c r="F259" s="4706" t="s">
        <v>2624</v>
      </c>
      <c r="G259" s="4706" t="s">
        <v>22</v>
      </c>
      <c r="H259" s="4706" t="s">
        <v>22</v>
      </c>
      <c r="I259" s="4706" t="s">
        <v>915</v>
      </c>
    </row>
    <row customHeight="1" ht="11.25">
      <c r="A260" s="4706" t="s">
        <v>2429</v>
      </c>
      <c r="B260" s="4706" t="s">
        <v>16</v>
      </c>
      <c r="C260" s="4706" t="s">
        <v>2959</v>
      </c>
      <c r="D260" s="4706" t="s">
        <v>2957</v>
      </c>
      <c r="E260" s="4706" t="s">
        <v>2960</v>
      </c>
      <c r="F260" s="4706" t="s">
        <v>2465</v>
      </c>
      <c r="G260" s="4706" t="s">
        <v>22</v>
      </c>
      <c r="H260" s="4706" t="s">
        <v>22</v>
      </c>
      <c r="I260" s="4706" t="s">
        <v>915</v>
      </c>
    </row>
    <row customHeight="1" ht="11.25">
      <c r="A261" s="4706" t="s">
        <v>2429</v>
      </c>
      <c r="B261" s="4706" t="s">
        <v>16</v>
      </c>
      <c r="C261" s="4706" t="s">
        <v>2964</v>
      </c>
      <c r="D261" s="4706" t="s">
        <v>2965</v>
      </c>
      <c r="E261" s="4706" t="s">
        <v>2966</v>
      </c>
      <c r="F261" s="4706" t="s">
        <v>2437</v>
      </c>
      <c r="G261" s="4706" t="s">
        <v>22</v>
      </c>
      <c r="H261" s="4706" t="s">
        <v>22</v>
      </c>
      <c r="I261" s="4706" t="s">
        <v>915</v>
      </c>
    </row>
    <row customHeight="1" ht="11.25">
      <c r="A262" s="4706" t="s">
        <v>2429</v>
      </c>
      <c r="B262" s="4706" t="s">
        <v>16</v>
      </c>
      <c r="C262" s="4706" t="s">
        <v>2973</v>
      </c>
      <c r="D262" s="4706" t="s">
        <v>2974</v>
      </c>
      <c r="E262" s="4706" t="s">
        <v>2975</v>
      </c>
      <c r="F262" s="4706" t="s">
        <v>2896</v>
      </c>
      <c r="G262" s="4706" t="s">
        <v>22</v>
      </c>
      <c r="H262" s="4706" t="s">
        <v>22</v>
      </c>
      <c r="I262" s="4706" t="s">
        <v>915</v>
      </c>
    </row>
    <row customHeight="1" ht="11.25">
      <c r="A263" s="4706" t="s">
        <v>2429</v>
      </c>
      <c r="B263" s="4706" t="s">
        <v>16</v>
      </c>
      <c r="C263" s="4706" t="s">
        <v>2980</v>
      </c>
      <c r="D263" s="4706" t="s">
        <v>2981</v>
      </c>
      <c r="E263" s="4706" t="s">
        <v>2982</v>
      </c>
      <c r="F263" s="4706" t="s">
        <v>2712</v>
      </c>
      <c r="G263" s="4706" t="s">
        <v>22</v>
      </c>
      <c r="H263" s="4706" t="s">
        <v>22</v>
      </c>
      <c r="I263" s="4706" t="s">
        <v>915</v>
      </c>
    </row>
    <row customHeight="1" ht="11.25">
      <c r="A264" s="4706" t="s">
        <v>2429</v>
      </c>
      <c r="B264" s="4706" t="s">
        <v>16</v>
      </c>
      <c r="C264" s="4706" t="s">
        <v>2983</v>
      </c>
      <c r="D264" s="4706" t="s">
        <v>2984</v>
      </c>
      <c r="E264" s="4706" t="s">
        <v>2985</v>
      </c>
      <c r="F264" s="4706" t="s">
        <v>2523</v>
      </c>
      <c r="G264" s="4706" t="s">
        <v>22</v>
      </c>
      <c r="H264" s="4706" t="s">
        <v>22</v>
      </c>
      <c r="I264" s="4706" t="s">
        <v>915</v>
      </c>
    </row>
    <row customHeight="1" ht="11.25">
      <c r="A265" s="4706" t="s">
        <v>2429</v>
      </c>
      <c r="B265" s="4706" t="s">
        <v>16</v>
      </c>
      <c r="C265" s="4706" t="s">
        <v>3018</v>
      </c>
      <c r="D265" s="4706" t="s">
        <v>3019</v>
      </c>
      <c r="E265" s="4706" t="s">
        <v>3020</v>
      </c>
      <c r="F265" s="4706" t="s">
        <v>2774</v>
      </c>
      <c r="G265" s="4706" t="s">
        <v>22</v>
      </c>
      <c r="H265" s="4706" t="s">
        <v>22</v>
      </c>
      <c r="I265" s="4706" t="s">
        <v>915</v>
      </c>
    </row>
    <row customHeight="1" ht="11.25">
      <c r="A266" s="4706" t="s">
        <v>2429</v>
      </c>
      <c r="B266" s="4706" t="s">
        <v>16</v>
      </c>
      <c r="C266" s="4706" t="s">
        <v>3021</v>
      </c>
      <c r="D266" s="4706" t="s">
        <v>3022</v>
      </c>
      <c r="E266" s="4706" t="s">
        <v>3023</v>
      </c>
      <c r="F266" s="4706" t="s">
        <v>2483</v>
      </c>
      <c r="G266" s="4706" t="s">
        <v>22</v>
      </c>
      <c r="H266" s="4706" t="s">
        <v>22</v>
      </c>
      <c r="I266" s="4706" t="s">
        <v>915</v>
      </c>
    </row>
    <row customHeight="1" ht="11.25">
      <c r="A267" s="4706" t="s">
        <v>2429</v>
      </c>
      <c r="B267" s="4706" t="s">
        <v>16</v>
      </c>
      <c r="C267" s="4706" t="s">
        <v>3024</v>
      </c>
      <c r="D267" s="4706" t="s">
        <v>3025</v>
      </c>
      <c r="E267" s="4706" t="s">
        <v>3026</v>
      </c>
      <c r="F267" s="4706" t="s">
        <v>2896</v>
      </c>
      <c r="G267" s="4706" t="s">
        <v>22</v>
      </c>
      <c r="H267" s="4706" t="s">
        <v>22</v>
      </c>
      <c r="I267" s="4706" t="s">
        <v>915</v>
      </c>
    </row>
    <row customHeight="1" ht="11.25">
      <c r="A268" s="4706" t="s">
        <v>2429</v>
      </c>
      <c r="B268" s="4706" t="s">
        <v>16</v>
      </c>
      <c r="C268" s="4706" t="s">
        <v>3044</v>
      </c>
      <c r="D268" s="4706" t="s">
        <v>3045</v>
      </c>
      <c r="E268" s="4706" t="s">
        <v>3046</v>
      </c>
      <c r="F268" s="4706" t="s">
        <v>3047</v>
      </c>
      <c r="G268" s="4706" t="s">
        <v>22</v>
      </c>
      <c r="H268" s="4706" t="s">
        <v>22</v>
      </c>
      <c r="I268" s="4706" t="s">
        <v>915</v>
      </c>
    </row>
    <row customHeight="1" ht="11.25">
      <c r="A269" s="4706" t="s">
        <v>2429</v>
      </c>
      <c r="B269" s="4706" t="s">
        <v>16</v>
      </c>
      <c r="C269" s="4706" t="s">
        <v>22</v>
      </c>
      <c r="D269" s="4706" t="s">
        <v>3051</v>
      </c>
      <c r="E269" s="4706" t="s">
        <v>3052</v>
      </c>
      <c r="F269" s="4706" t="s">
        <v>2437</v>
      </c>
      <c r="G269" s="4706" t="s">
        <v>22</v>
      </c>
      <c r="H269" s="4706" t="s">
        <v>22</v>
      </c>
      <c r="I269" s="4706" t="s">
        <v>915</v>
      </c>
    </row>
    <row customHeight="1" ht="11.25">
      <c r="A270" s="4706" t="s">
        <v>2429</v>
      </c>
      <c r="B270" s="4706" t="s">
        <v>16</v>
      </c>
      <c r="C270" s="4706" t="s">
        <v>3064</v>
      </c>
      <c r="D270" s="4706" t="s">
        <v>3065</v>
      </c>
      <c r="E270" s="4706" t="s">
        <v>2432</v>
      </c>
      <c r="F270" s="4706" t="s">
        <v>2437</v>
      </c>
      <c r="G270" s="4706" t="s">
        <v>22</v>
      </c>
      <c r="H270" s="4706" t="s">
        <v>22</v>
      </c>
      <c r="I270" s="4706" t="s">
        <v>915</v>
      </c>
    </row>
    <row customHeight="1" ht="11.25">
      <c r="A271" s="4706" t="s">
        <v>2429</v>
      </c>
      <c r="B271" s="4706" t="s">
        <v>16</v>
      </c>
      <c r="C271" s="4706" t="s">
        <v>3077</v>
      </c>
      <c r="D271" s="4706" t="s">
        <v>3078</v>
      </c>
      <c r="E271" s="4706" t="s">
        <v>3079</v>
      </c>
      <c r="F271" s="4706" t="s">
        <v>2453</v>
      </c>
      <c r="G271" s="4706" t="s">
        <v>22</v>
      </c>
      <c r="H271" s="4706" t="s">
        <v>22</v>
      </c>
      <c r="I271" s="4706" t="s">
        <v>915</v>
      </c>
    </row>
    <row customHeight="1" ht="11.25">
      <c r="A272" s="4706" t="s">
        <v>2429</v>
      </c>
      <c r="B272" s="4706" t="s">
        <v>16</v>
      </c>
      <c r="C272" s="4706" t="s">
        <v>2430</v>
      </c>
      <c r="D272" s="4706" t="s">
        <v>2431</v>
      </c>
      <c r="E272" s="4706" t="s">
        <v>2432</v>
      </c>
      <c r="F272" s="4706" t="s">
        <v>2433</v>
      </c>
      <c r="G272" s="4706" t="s">
        <v>22</v>
      </c>
      <c r="H272" s="4706" t="s">
        <v>22</v>
      </c>
      <c r="I272" s="4706" t="s">
        <v>875</v>
      </c>
    </row>
    <row customHeight="1" ht="11.25">
      <c r="A273" s="4706" t="s">
        <v>2429</v>
      </c>
      <c r="B273" s="4706" t="s">
        <v>16</v>
      </c>
      <c r="C273" s="4706" t="s">
        <v>2434</v>
      </c>
      <c r="D273" s="4706" t="s">
        <v>2435</v>
      </c>
      <c r="E273" s="4706" t="s">
        <v>2436</v>
      </c>
      <c r="F273" s="4706" t="s">
        <v>2437</v>
      </c>
      <c r="G273" s="4706" t="s">
        <v>22</v>
      </c>
      <c r="H273" s="4706" t="s">
        <v>22</v>
      </c>
      <c r="I273" s="4706" t="s">
        <v>875</v>
      </c>
    </row>
    <row customHeight="1" ht="11.25">
      <c r="A274" s="4706" t="s">
        <v>2429</v>
      </c>
      <c r="B274" s="4706" t="s">
        <v>16</v>
      </c>
      <c r="C274" s="4706" t="s">
        <v>13</v>
      </c>
      <c r="D274" s="4706" t="s">
        <v>46</v>
      </c>
      <c r="E274" s="4706" t="s">
        <v>49</v>
      </c>
      <c r="F274" s="4706" t="s">
        <v>51</v>
      </c>
      <c r="G274" s="4706" t="s">
        <v>22</v>
      </c>
      <c r="H274" s="4706" t="s">
        <v>22</v>
      </c>
      <c r="I274" s="4706" t="s">
        <v>875</v>
      </c>
    </row>
    <row customHeight="1" ht="11.25">
      <c r="A275" s="4706" t="s">
        <v>2429</v>
      </c>
      <c r="B275" s="4706" t="s">
        <v>16</v>
      </c>
      <c r="C275" s="4706" t="s">
        <v>2451</v>
      </c>
      <c r="D275" s="4706" t="s">
        <v>2452</v>
      </c>
      <c r="E275" s="4706" t="s">
        <v>49</v>
      </c>
      <c r="F275" s="4706" t="s">
        <v>2453</v>
      </c>
      <c r="G275" s="4706" t="s">
        <v>22</v>
      </c>
      <c r="H275" s="4706" t="s">
        <v>22</v>
      </c>
      <c r="I275" s="4706" t="s">
        <v>875</v>
      </c>
    </row>
    <row customHeight="1" ht="11.25">
      <c r="A276" s="4706" t="s">
        <v>2429</v>
      </c>
      <c r="B276" s="4706" t="s">
        <v>16</v>
      </c>
      <c r="C276" s="4706" t="s">
        <v>2454</v>
      </c>
      <c r="D276" s="4706" t="s">
        <v>2455</v>
      </c>
      <c r="E276" s="4706" t="s">
        <v>2456</v>
      </c>
      <c r="F276" s="4706" t="s">
        <v>2457</v>
      </c>
      <c r="G276" s="4706" t="s">
        <v>22</v>
      </c>
      <c r="H276" s="4706" t="s">
        <v>22</v>
      </c>
      <c r="I276" s="4706" t="s">
        <v>875</v>
      </c>
    </row>
    <row customHeight="1" ht="11.25">
      <c r="A277" s="4706" t="s">
        <v>2429</v>
      </c>
      <c r="B277" s="4706" t="s">
        <v>16</v>
      </c>
      <c r="C277" s="4706" t="s">
        <v>2458</v>
      </c>
      <c r="D277" s="4706" t="s">
        <v>2459</v>
      </c>
      <c r="E277" s="4706" t="s">
        <v>2460</v>
      </c>
      <c r="F277" s="4706" t="s">
        <v>2461</v>
      </c>
      <c r="G277" s="4706" t="s">
        <v>22</v>
      </c>
      <c r="H277" s="4706" t="s">
        <v>22</v>
      </c>
      <c r="I277" s="4706" t="s">
        <v>875</v>
      </c>
    </row>
    <row customHeight="1" ht="11.25">
      <c r="A278" s="4706" t="s">
        <v>2429</v>
      </c>
      <c r="B278" s="4706" t="s">
        <v>16</v>
      </c>
      <c r="C278" s="4706" t="s">
        <v>2462</v>
      </c>
      <c r="D278" s="4706" t="s">
        <v>2463</v>
      </c>
      <c r="E278" s="4706" t="s">
        <v>2464</v>
      </c>
      <c r="F278" s="4706" t="s">
        <v>2465</v>
      </c>
      <c r="G278" s="4706" t="s">
        <v>22</v>
      </c>
      <c r="H278" s="4706" t="s">
        <v>22</v>
      </c>
      <c r="I278" s="4706" t="s">
        <v>875</v>
      </c>
    </row>
    <row customHeight="1" ht="11.25">
      <c r="A279" s="4706" t="s">
        <v>2429</v>
      </c>
      <c r="B279" s="4706" t="s">
        <v>16</v>
      </c>
      <c r="C279" s="4706" t="s">
        <v>2466</v>
      </c>
      <c r="D279" s="4706" t="s">
        <v>2467</v>
      </c>
      <c r="E279" s="4706" t="s">
        <v>2468</v>
      </c>
      <c r="F279" s="4706" t="s">
        <v>2469</v>
      </c>
      <c r="G279" s="4706" t="s">
        <v>22</v>
      </c>
      <c r="H279" s="4706" t="s">
        <v>22</v>
      </c>
      <c r="I279" s="4706" t="s">
        <v>875</v>
      </c>
    </row>
    <row customHeight="1" ht="11.25">
      <c r="A280" s="4706" t="s">
        <v>2429</v>
      </c>
      <c r="B280" s="4706" t="s">
        <v>16</v>
      </c>
      <c r="C280" s="4706" t="s">
        <v>3090</v>
      </c>
      <c r="D280" s="4706" t="s">
        <v>3091</v>
      </c>
      <c r="E280" s="4706" t="s">
        <v>3092</v>
      </c>
      <c r="F280" s="4706" t="s">
        <v>2583</v>
      </c>
      <c r="G280" s="4706" t="s">
        <v>22</v>
      </c>
      <c r="H280" s="4706" t="s">
        <v>22</v>
      </c>
      <c r="I280" s="4706" t="s">
        <v>875</v>
      </c>
    </row>
    <row customHeight="1" ht="11.25">
      <c r="A281" s="4706" t="s">
        <v>2429</v>
      </c>
      <c r="B281" s="4706" t="s">
        <v>16</v>
      </c>
      <c r="C281" s="4706" t="s">
        <v>2489</v>
      </c>
      <c r="D281" s="4706" t="s">
        <v>2490</v>
      </c>
      <c r="E281" s="4706" t="s">
        <v>2491</v>
      </c>
      <c r="F281" s="4706" t="s">
        <v>2437</v>
      </c>
      <c r="G281" s="4706" t="s">
        <v>22</v>
      </c>
      <c r="H281" s="4706" t="s">
        <v>22</v>
      </c>
      <c r="I281" s="4706" t="s">
        <v>875</v>
      </c>
    </row>
    <row customHeight="1" ht="11.25">
      <c r="A282" s="4706" t="s">
        <v>2429</v>
      </c>
      <c r="B282" s="4706" t="s">
        <v>16</v>
      </c>
      <c r="C282" s="4706" t="s">
        <v>2495</v>
      </c>
      <c r="D282" s="4706" t="s">
        <v>2496</v>
      </c>
      <c r="E282" s="4706" t="s">
        <v>2497</v>
      </c>
      <c r="F282" s="4706" t="s">
        <v>2461</v>
      </c>
      <c r="G282" s="4706" t="s">
        <v>22</v>
      </c>
      <c r="H282" s="4706" t="s">
        <v>22</v>
      </c>
      <c r="I282" s="4706" t="s">
        <v>875</v>
      </c>
    </row>
    <row customHeight="1" ht="11.25">
      <c r="A283" s="4706" t="s">
        <v>2429</v>
      </c>
      <c r="B283" s="4706" t="s">
        <v>16</v>
      </c>
      <c r="C283" s="4706" t="s">
        <v>2501</v>
      </c>
      <c r="D283" s="4706" t="s">
        <v>2502</v>
      </c>
      <c r="E283" s="4706" t="s">
        <v>2497</v>
      </c>
      <c r="F283" s="4706" t="s">
        <v>2503</v>
      </c>
      <c r="G283" s="4706" t="s">
        <v>22</v>
      </c>
      <c r="H283" s="4706" t="s">
        <v>22</v>
      </c>
      <c r="I283" s="4706" t="s">
        <v>875</v>
      </c>
    </row>
    <row customHeight="1" ht="11.25">
      <c r="A284" s="4706" t="s">
        <v>2429</v>
      </c>
      <c r="B284" s="4706" t="s">
        <v>16</v>
      </c>
      <c r="C284" s="4706" t="s">
        <v>3093</v>
      </c>
      <c r="D284" s="4706" t="s">
        <v>3094</v>
      </c>
      <c r="E284" s="4706" t="s">
        <v>3095</v>
      </c>
      <c r="F284" s="4706" t="s">
        <v>593</v>
      </c>
      <c r="G284" s="4706" t="s">
        <v>22</v>
      </c>
      <c r="H284" s="4706" t="s">
        <v>22</v>
      </c>
      <c r="I284" s="4706" t="s">
        <v>875</v>
      </c>
    </row>
    <row customHeight="1" ht="11.25">
      <c r="A285" s="4706" t="s">
        <v>2429</v>
      </c>
      <c r="B285" s="4706" t="s">
        <v>16</v>
      </c>
      <c r="C285" s="4706" t="s">
        <v>3096</v>
      </c>
      <c r="D285" s="4706" t="s">
        <v>3097</v>
      </c>
      <c r="E285" s="4706" t="s">
        <v>3098</v>
      </c>
      <c r="F285" s="4706" t="s">
        <v>2441</v>
      </c>
      <c r="G285" s="4706" t="s">
        <v>22</v>
      </c>
      <c r="H285" s="4706" t="s">
        <v>22</v>
      </c>
      <c r="I285" s="4706" t="s">
        <v>875</v>
      </c>
    </row>
    <row customHeight="1" ht="11.25">
      <c r="A286" s="4706" t="s">
        <v>2429</v>
      </c>
      <c r="B286" s="4706" t="s">
        <v>16</v>
      </c>
      <c r="C286" s="4706" t="s">
        <v>3099</v>
      </c>
      <c r="D286" s="4706" t="s">
        <v>3100</v>
      </c>
      <c r="E286" s="4706" t="s">
        <v>3101</v>
      </c>
      <c r="F286" s="4706" t="s">
        <v>2812</v>
      </c>
      <c r="G286" s="4706" t="s">
        <v>22</v>
      </c>
      <c r="H286" s="4706" t="s">
        <v>22</v>
      </c>
      <c r="I286" s="4706" t="s">
        <v>875</v>
      </c>
    </row>
    <row customHeight="1" ht="11.25">
      <c r="A287" s="4706" t="s">
        <v>2429</v>
      </c>
      <c r="B287" s="4706" t="s">
        <v>16</v>
      </c>
      <c r="C287" s="4706" t="s">
        <v>2513</v>
      </c>
      <c r="D287" s="4706" t="s">
        <v>2514</v>
      </c>
      <c r="E287" s="4706" t="s">
        <v>2515</v>
      </c>
      <c r="F287" s="4706" t="s">
        <v>2465</v>
      </c>
      <c r="G287" s="4706" t="s">
        <v>22</v>
      </c>
      <c r="H287" s="4706" t="s">
        <v>22</v>
      </c>
      <c r="I287" s="4706" t="s">
        <v>875</v>
      </c>
    </row>
    <row customHeight="1" ht="11.25">
      <c r="A288" s="4706" t="s">
        <v>2429</v>
      </c>
      <c r="B288" s="4706" t="s">
        <v>16</v>
      </c>
      <c r="C288" s="4706" t="s">
        <v>3102</v>
      </c>
      <c r="D288" s="4706" t="s">
        <v>3103</v>
      </c>
      <c r="E288" s="4706" t="s">
        <v>3104</v>
      </c>
      <c r="F288" s="4706" t="s">
        <v>2563</v>
      </c>
      <c r="G288" s="4706" t="s">
        <v>22</v>
      </c>
      <c r="H288" s="4706" t="s">
        <v>22</v>
      </c>
      <c r="I288" s="4706" t="s">
        <v>875</v>
      </c>
    </row>
    <row customHeight="1" ht="11.25">
      <c r="A289" s="4706" t="s">
        <v>2429</v>
      </c>
      <c r="B289" s="4706" t="s">
        <v>16</v>
      </c>
      <c r="C289" s="4706" t="s">
        <v>3105</v>
      </c>
      <c r="D289" s="4706" t="s">
        <v>3106</v>
      </c>
      <c r="E289" s="4706" t="s">
        <v>3107</v>
      </c>
      <c r="F289" s="4706" t="s">
        <v>2528</v>
      </c>
      <c r="G289" s="4706" t="s">
        <v>22</v>
      </c>
      <c r="H289" s="4706" t="s">
        <v>22</v>
      </c>
      <c r="I289" s="4706" t="s">
        <v>875</v>
      </c>
    </row>
    <row customHeight="1" ht="11.25">
      <c r="A290" s="4706" t="s">
        <v>2429</v>
      </c>
      <c r="B290" s="4706" t="s">
        <v>16</v>
      </c>
      <c r="C290" s="4706" t="s">
        <v>3108</v>
      </c>
      <c r="D290" s="4706" t="s">
        <v>3109</v>
      </c>
      <c r="E290" s="4706" t="s">
        <v>3110</v>
      </c>
      <c r="F290" s="4706" t="s">
        <v>2523</v>
      </c>
      <c r="G290" s="4706" t="s">
        <v>3111</v>
      </c>
      <c r="H290" s="4706" t="s">
        <v>22</v>
      </c>
      <c r="I290" s="4706" t="s">
        <v>875</v>
      </c>
    </row>
    <row customHeight="1" ht="11.25">
      <c r="A291" s="4706" t="s">
        <v>2429</v>
      </c>
      <c r="B291" s="4706" t="s">
        <v>16</v>
      </c>
      <c r="C291" s="4706" t="s">
        <v>2520</v>
      </c>
      <c r="D291" s="4706" t="s">
        <v>2521</v>
      </c>
      <c r="E291" s="4706" t="s">
        <v>2522</v>
      </c>
      <c r="F291" s="4706" t="s">
        <v>2523</v>
      </c>
      <c r="G291" s="4706" t="s">
        <v>2524</v>
      </c>
      <c r="H291" s="4706" t="s">
        <v>22</v>
      </c>
      <c r="I291" s="4706" t="s">
        <v>875</v>
      </c>
    </row>
    <row customHeight="1" ht="11.25">
      <c r="A292" s="4706" t="s">
        <v>2429</v>
      </c>
      <c r="B292" s="4706" t="s">
        <v>16</v>
      </c>
      <c r="C292" s="4706" t="s">
        <v>3112</v>
      </c>
      <c r="D292" s="4706" t="s">
        <v>3113</v>
      </c>
      <c r="E292" s="4706" t="s">
        <v>3114</v>
      </c>
      <c r="F292" s="4706" t="s">
        <v>2576</v>
      </c>
      <c r="G292" s="4706" t="s">
        <v>3115</v>
      </c>
      <c r="H292" s="4706" t="s">
        <v>22</v>
      </c>
      <c r="I292" s="4706" t="s">
        <v>875</v>
      </c>
    </row>
    <row customHeight="1" ht="11.25">
      <c r="A293" s="4706" t="s">
        <v>2429</v>
      </c>
      <c r="B293" s="4706" t="s">
        <v>16</v>
      </c>
      <c r="C293" s="4706" t="s">
        <v>2525</v>
      </c>
      <c r="D293" s="4706" t="s">
        <v>2526</v>
      </c>
      <c r="E293" s="4706" t="s">
        <v>2527</v>
      </c>
      <c r="F293" s="4706" t="s">
        <v>2528</v>
      </c>
      <c r="G293" s="4706" t="s">
        <v>22</v>
      </c>
      <c r="H293" s="4706" t="s">
        <v>22</v>
      </c>
      <c r="I293" s="4706" t="s">
        <v>875</v>
      </c>
    </row>
    <row customHeight="1" ht="11.25">
      <c r="A294" s="4706" t="s">
        <v>2429</v>
      </c>
      <c r="B294" s="4706" t="s">
        <v>16</v>
      </c>
      <c r="C294" s="4706" t="s">
        <v>2529</v>
      </c>
      <c r="D294" s="4706" t="s">
        <v>2530</v>
      </c>
      <c r="E294" s="4706" t="s">
        <v>2531</v>
      </c>
      <c r="F294" s="4706" t="s">
        <v>2532</v>
      </c>
      <c r="G294" s="4706" t="s">
        <v>22</v>
      </c>
      <c r="H294" s="4706" t="s">
        <v>22</v>
      </c>
      <c r="I294" s="4706" t="s">
        <v>875</v>
      </c>
    </row>
    <row customHeight="1" ht="11.25">
      <c r="A295" s="4706" t="s">
        <v>2429</v>
      </c>
      <c r="B295" s="4706" t="s">
        <v>16</v>
      </c>
      <c r="C295" s="4706" t="s">
        <v>2533</v>
      </c>
      <c r="D295" s="4706" t="s">
        <v>2534</v>
      </c>
      <c r="E295" s="4706" t="s">
        <v>2535</v>
      </c>
      <c r="F295" s="4706" t="s">
        <v>2488</v>
      </c>
      <c r="G295" s="4706" t="s">
        <v>22</v>
      </c>
      <c r="H295" s="4706" t="s">
        <v>22</v>
      </c>
      <c r="I295" s="4706" t="s">
        <v>875</v>
      </c>
    </row>
    <row customHeight="1" ht="11.25">
      <c r="A296" s="4706" t="s">
        <v>2429</v>
      </c>
      <c r="B296" s="4706" t="s">
        <v>16</v>
      </c>
      <c r="C296" s="4706" t="s">
        <v>3116</v>
      </c>
      <c r="D296" s="4706" t="s">
        <v>3117</v>
      </c>
      <c r="E296" s="4706" t="s">
        <v>3118</v>
      </c>
      <c r="F296" s="4706" t="s">
        <v>2528</v>
      </c>
      <c r="G296" s="4706" t="s">
        <v>22</v>
      </c>
      <c r="H296" s="4706" t="s">
        <v>22</v>
      </c>
      <c r="I296" s="4706" t="s">
        <v>875</v>
      </c>
    </row>
    <row customHeight="1" ht="11.25">
      <c r="A297" s="4706" t="s">
        <v>2429</v>
      </c>
      <c r="B297" s="4706" t="s">
        <v>16</v>
      </c>
      <c r="C297" s="4706" t="s">
        <v>3119</v>
      </c>
      <c r="D297" s="4706" t="s">
        <v>3120</v>
      </c>
      <c r="E297" s="4706" t="s">
        <v>3121</v>
      </c>
      <c r="F297" s="4706" t="s">
        <v>2528</v>
      </c>
      <c r="G297" s="4706" t="s">
        <v>22</v>
      </c>
      <c r="H297" s="4706" t="s">
        <v>22</v>
      </c>
      <c r="I297" s="4706" t="s">
        <v>875</v>
      </c>
    </row>
    <row customHeight="1" ht="11.25">
      <c r="A298" s="4706" t="s">
        <v>2429</v>
      </c>
      <c r="B298" s="4706" t="s">
        <v>16</v>
      </c>
      <c r="C298" s="4706" t="s">
        <v>3122</v>
      </c>
      <c r="D298" s="4706" t="s">
        <v>3123</v>
      </c>
      <c r="E298" s="4706" t="s">
        <v>3124</v>
      </c>
      <c r="F298" s="4706" t="s">
        <v>2519</v>
      </c>
      <c r="G298" s="4706" t="s">
        <v>22</v>
      </c>
      <c r="H298" s="4706" t="s">
        <v>22</v>
      </c>
      <c r="I298" s="4706" t="s">
        <v>875</v>
      </c>
    </row>
    <row customHeight="1" ht="11.25">
      <c r="A299" s="4706" t="s">
        <v>2429</v>
      </c>
      <c r="B299" s="4706" t="s">
        <v>16</v>
      </c>
      <c r="C299" s="4706" t="s">
        <v>3125</v>
      </c>
      <c r="D299" s="4706" t="s">
        <v>3126</v>
      </c>
      <c r="E299" s="4706" t="s">
        <v>3127</v>
      </c>
      <c r="F299" s="4706" t="s">
        <v>2528</v>
      </c>
      <c r="G299" s="4706" t="s">
        <v>22</v>
      </c>
      <c r="H299" s="4706" t="s">
        <v>22</v>
      </c>
      <c r="I299" s="4706" t="s">
        <v>875</v>
      </c>
    </row>
    <row customHeight="1" ht="11.25">
      <c r="A300" s="4706" t="s">
        <v>2429</v>
      </c>
      <c r="B300" s="4706" t="s">
        <v>16</v>
      </c>
      <c r="C300" s="4706" t="s">
        <v>3128</v>
      </c>
      <c r="D300" s="4706" t="s">
        <v>3129</v>
      </c>
      <c r="E300" s="4706" t="s">
        <v>3130</v>
      </c>
      <c r="F300" s="4706" t="s">
        <v>2519</v>
      </c>
      <c r="G300" s="4706" t="s">
        <v>22</v>
      </c>
      <c r="H300" s="4706" t="s">
        <v>22</v>
      </c>
      <c r="I300" s="4706" t="s">
        <v>875</v>
      </c>
    </row>
    <row customHeight="1" ht="11.25">
      <c r="A301" s="4706" t="s">
        <v>2429</v>
      </c>
      <c r="B301" s="4706" t="s">
        <v>16</v>
      </c>
      <c r="C301" s="4706" t="s">
        <v>3131</v>
      </c>
      <c r="D301" s="4706" t="s">
        <v>3132</v>
      </c>
      <c r="E301" s="4706" t="s">
        <v>3133</v>
      </c>
      <c r="F301" s="4706" t="s">
        <v>2528</v>
      </c>
      <c r="G301" s="4706" t="s">
        <v>22</v>
      </c>
      <c r="H301" s="4706" t="s">
        <v>22</v>
      </c>
      <c r="I301" s="4706" t="s">
        <v>875</v>
      </c>
    </row>
    <row customHeight="1" ht="11.25">
      <c r="A302" s="4706" t="s">
        <v>2429</v>
      </c>
      <c r="B302" s="4706" t="s">
        <v>16</v>
      </c>
      <c r="C302" s="4706" t="s">
        <v>3134</v>
      </c>
      <c r="D302" s="4706" t="s">
        <v>3135</v>
      </c>
      <c r="E302" s="4706" t="s">
        <v>3136</v>
      </c>
      <c r="F302" s="4706" t="s">
        <v>2528</v>
      </c>
      <c r="G302" s="4706" t="s">
        <v>22</v>
      </c>
      <c r="H302" s="4706" t="s">
        <v>22</v>
      </c>
      <c r="I302" s="4706" t="s">
        <v>875</v>
      </c>
    </row>
    <row customHeight="1" ht="11.25">
      <c r="A303" s="4706" t="s">
        <v>2429</v>
      </c>
      <c r="B303" s="4706" t="s">
        <v>16</v>
      </c>
      <c r="C303" s="4706" t="s">
        <v>3137</v>
      </c>
      <c r="D303" s="4706" t="s">
        <v>3138</v>
      </c>
      <c r="E303" s="4706" t="s">
        <v>3139</v>
      </c>
      <c r="F303" s="4706" t="s">
        <v>2528</v>
      </c>
      <c r="G303" s="4706" t="s">
        <v>22</v>
      </c>
      <c r="H303" s="4706" t="s">
        <v>22</v>
      </c>
      <c r="I303" s="4706" t="s">
        <v>875</v>
      </c>
    </row>
    <row customHeight="1" ht="11.25">
      <c r="A304" s="4706" t="s">
        <v>2429</v>
      </c>
      <c r="B304" s="4706" t="s">
        <v>16</v>
      </c>
      <c r="C304" s="4706" t="s">
        <v>3140</v>
      </c>
      <c r="D304" s="4706" t="s">
        <v>3141</v>
      </c>
      <c r="E304" s="4706" t="s">
        <v>3142</v>
      </c>
      <c r="F304" s="4706" t="s">
        <v>2488</v>
      </c>
      <c r="G304" s="4706" t="s">
        <v>22</v>
      </c>
      <c r="H304" s="4706" t="s">
        <v>22</v>
      </c>
      <c r="I304" s="4706" t="s">
        <v>875</v>
      </c>
    </row>
    <row customHeight="1" ht="11.25">
      <c r="A305" s="4706" t="s">
        <v>2429</v>
      </c>
      <c r="B305" s="4706" t="s">
        <v>16</v>
      </c>
      <c r="C305" s="4706" t="s">
        <v>2545</v>
      </c>
      <c r="D305" s="4706" t="s">
        <v>2546</v>
      </c>
      <c r="E305" s="4706" t="s">
        <v>2547</v>
      </c>
      <c r="F305" s="4706" t="s">
        <v>2548</v>
      </c>
      <c r="G305" s="4706" t="s">
        <v>22</v>
      </c>
      <c r="H305" s="4706" t="s">
        <v>22</v>
      </c>
      <c r="I305" s="4706" t="s">
        <v>875</v>
      </c>
    </row>
    <row customHeight="1" ht="11.25">
      <c r="A306" s="4706" t="s">
        <v>2429</v>
      </c>
      <c r="B306" s="4706" t="s">
        <v>16</v>
      </c>
      <c r="C306" s="4706" t="s">
        <v>3143</v>
      </c>
      <c r="D306" s="4706" t="s">
        <v>3144</v>
      </c>
      <c r="E306" s="4706" t="s">
        <v>3145</v>
      </c>
      <c r="F306" s="4706" t="s">
        <v>2576</v>
      </c>
      <c r="G306" s="4706" t="s">
        <v>22</v>
      </c>
      <c r="H306" s="4706" t="s">
        <v>22</v>
      </c>
      <c r="I306" s="4706" t="s">
        <v>875</v>
      </c>
    </row>
    <row customHeight="1" ht="11.25">
      <c r="A307" s="4706" t="s">
        <v>2429</v>
      </c>
      <c r="B307" s="4706" t="s">
        <v>16</v>
      </c>
      <c r="C307" s="4706" t="s">
        <v>2549</v>
      </c>
      <c r="D307" s="4706" t="s">
        <v>2550</v>
      </c>
      <c r="E307" s="4706" t="s">
        <v>2551</v>
      </c>
      <c r="F307" s="4706" t="s">
        <v>2548</v>
      </c>
      <c r="G307" s="4706" t="s">
        <v>22</v>
      </c>
      <c r="H307" s="4706" t="s">
        <v>22</v>
      </c>
      <c r="I307" s="4706" t="s">
        <v>875</v>
      </c>
    </row>
    <row customHeight="1" ht="11.25">
      <c r="A308" s="4706" t="s">
        <v>2429</v>
      </c>
      <c r="B308" s="4706" t="s">
        <v>16</v>
      </c>
      <c r="C308" s="4706" t="s">
        <v>3146</v>
      </c>
      <c r="D308" s="4706" t="s">
        <v>3147</v>
      </c>
      <c r="E308" s="4706" t="s">
        <v>3148</v>
      </c>
      <c r="F308" s="4706" t="s">
        <v>2740</v>
      </c>
      <c r="G308" s="4706" t="s">
        <v>22</v>
      </c>
      <c r="H308" s="4706" t="s">
        <v>22</v>
      </c>
      <c r="I308" s="4706" t="s">
        <v>875</v>
      </c>
    </row>
    <row customHeight="1" ht="11.25">
      <c r="A309" s="4706" t="s">
        <v>2429</v>
      </c>
      <c r="B309" s="4706" t="s">
        <v>16</v>
      </c>
      <c r="C309" s="4706" t="s">
        <v>2552</v>
      </c>
      <c r="D309" s="4706" t="s">
        <v>2553</v>
      </c>
      <c r="E309" s="4706" t="s">
        <v>2554</v>
      </c>
      <c r="F309" s="4706" t="s">
        <v>2555</v>
      </c>
      <c r="G309" s="4706" t="s">
        <v>22</v>
      </c>
      <c r="H309" s="4706" t="s">
        <v>22</v>
      </c>
      <c r="I309" s="4706" t="s">
        <v>875</v>
      </c>
    </row>
    <row customHeight="1" ht="11.25">
      <c r="A310" s="4706" t="s">
        <v>2429</v>
      </c>
      <c r="B310" s="4706" t="s">
        <v>16</v>
      </c>
      <c r="C310" s="4706" t="s">
        <v>2556</v>
      </c>
      <c r="D310" s="4706" t="s">
        <v>2557</v>
      </c>
      <c r="E310" s="4706" t="s">
        <v>2558</v>
      </c>
      <c r="F310" s="4706" t="s">
        <v>2488</v>
      </c>
      <c r="G310" s="4706" t="s">
        <v>2559</v>
      </c>
      <c r="H310" s="4706" t="s">
        <v>22</v>
      </c>
      <c r="I310" s="4706" t="s">
        <v>875</v>
      </c>
    </row>
    <row customHeight="1" ht="11.25">
      <c r="A311" s="4706" t="s">
        <v>2429</v>
      </c>
      <c r="B311" s="4706" t="s">
        <v>16</v>
      </c>
      <c r="C311" s="4706" t="s">
        <v>3149</v>
      </c>
      <c r="D311" s="4706" t="s">
        <v>3150</v>
      </c>
      <c r="E311" s="4706" t="s">
        <v>3151</v>
      </c>
      <c r="F311" s="4706" t="s">
        <v>2712</v>
      </c>
      <c r="G311" s="4706" t="s">
        <v>22</v>
      </c>
      <c r="H311" s="4706" t="s">
        <v>22</v>
      </c>
      <c r="I311" s="4706" t="s">
        <v>875</v>
      </c>
    </row>
    <row customHeight="1" ht="11.25">
      <c r="A312" s="4706" t="s">
        <v>2429</v>
      </c>
      <c r="B312" s="4706" t="s">
        <v>16</v>
      </c>
      <c r="C312" s="4706" t="s">
        <v>2560</v>
      </c>
      <c r="D312" s="4706" t="s">
        <v>2561</v>
      </c>
      <c r="E312" s="4706" t="s">
        <v>2562</v>
      </c>
      <c r="F312" s="4706" t="s">
        <v>2563</v>
      </c>
      <c r="G312" s="4706" t="s">
        <v>22</v>
      </c>
      <c r="H312" s="4706" t="s">
        <v>22</v>
      </c>
      <c r="I312" s="4706" t="s">
        <v>875</v>
      </c>
    </row>
    <row customHeight="1" ht="11.25">
      <c r="A313" s="4706" t="s">
        <v>2429</v>
      </c>
      <c r="B313" s="4706" t="s">
        <v>16</v>
      </c>
      <c r="C313" s="4706" t="s">
        <v>3152</v>
      </c>
      <c r="D313" s="4706" t="s">
        <v>3153</v>
      </c>
      <c r="E313" s="4706" t="s">
        <v>3154</v>
      </c>
      <c r="F313" s="4706" t="s">
        <v>2570</v>
      </c>
      <c r="G313" s="4706" t="s">
        <v>22</v>
      </c>
      <c r="H313" s="4706" t="s">
        <v>22</v>
      </c>
      <c r="I313" s="4706" t="s">
        <v>875</v>
      </c>
    </row>
    <row customHeight="1" ht="11.25">
      <c r="A314" s="4706" t="s">
        <v>2429</v>
      </c>
      <c r="B314" s="4706" t="s">
        <v>16</v>
      </c>
      <c r="C314" s="4706" t="s">
        <v>2564</v>
      </c>
      <c r="D314" s="4706" t="s">
        <v>2565</v>
      </c>
      <c r="E314" s="4706" t="s">
        <v>2566</v>
      </c>
      <c r="F314" s="4706" t="s">
        <v>2523</v>
      </c>
      <c r="G314" s="4706" t="s">
        <v>22</v>
      </c>
      <c r="H314" s="4706" t="s">
        <v>22</v>
      </c>
      <c r="I314" s="4706" t="s">
        <v>875</v>
      </c>
    </row>
    <row customHeight="1" ht="11.25">
      <c r="A315" s="4706" t="s">
        <v>2429</v>
      </c>
      <c r="B315" s="4706" t="s">
        <v>16</v>
      </c>
      <c r="C315" s="4706" t="s">
        <v>2573</v>
      </c>
      <c r="D315" s="4706" t="s">
        <v>2574</v>
      </c>
      <c r="E315" s="4706" t="s">
        <v>2575</v>
      </c>
      <c r="F315" s="4706" t="s">
        <v>2576</v>
      </c>
      <c r="G315" s="4706" t="s">
        <v>22</v>
      </c>
      <c r="H315" s="4706" t="s">
        <v>22</v>
      </c>
      <c r="I315" s="4706" t="s">
        <v>875</v>
      </c>
    </row>
    <row customHeight="1" ht="11.25">
      <c r="A316" s="4706" t="s">
        <v>2429</v>
      </c>
      <c r="B316" s="4706" t="s">
        <v>16</v>
      </c>
      <c r="C316" s="4706" t="s">
        <v>2577</v>
      </c>
      <c r="D316" s="4706" t="s">
        <v>2578</v>
      </c>
      <c r="E316" s="4706" t="s">
        <v>2579</v>
      </c>
      <c r="F316" s="4706" t="s">
        <v>2576</v>
      </c>
      <c r="G316" s="4706" t="s">
        <v>22</v>
      </c>
      <c r="H316" s="4706" t="s">
        <v>22</v>
      </c>
      <c r="I316" s="4706" t="s">
        <v>875</v>
      </c>
    </row>
    <row customHeight="1" ht="11.25">
      <c r="A317" s="4706" t="s">
        <v>2429</v>
      </c>
      <c r="B317" s="4706" t="s">
        <v>16</v>
      </c>
      <c r="C317" s="4706" t="s">
        <v>2580</v>
      </c>
      <c r="D317" s="4706" t="s">
        <v>2581</v>
      </c>
      <c r="E317" s="4706" t="s">
        <v>2582</v>
      </c>
      <c r="F317" s="4706" t="s">
        <v>2583</v>
      </c>
      <c r="G317" s="4706" t="s">
        <v>22</v>
      </c>
      <c r="H317" s="4706" t="s">
        <v>22</v>
      </c>
      <c r="I317" s="4706" t="s">
        <v>875</v>
      </c>
    </row>
    <row customHeight="1" ht="11.25">
      <c r="A318" s="4706" t="s">
        <v>2429</v>
      </c>
      <c r="B318" s="4706" t="s">
        <v>16</v>
      </c>
      <c r="C318" s="4706" t="s">
        <v>3155</v>
      </c>
      <c r="D318" s="4706" t="s">
        <v>3156</v>
      </c>
      <c r="E318" s="4706" t="s">
        <v>3157</v>
      </c>
      <c r="F318" s="4706" t="s">
        <v>2555</v>
      </c>
      <c r="G318" s="4706" t="s">
        <v>22</v>
      </c>
      <c r="H318" s="4706" t="s">
        <v>22</v>
      </c>
      <c r="I318" s="4706" t="s">
        <v>875</v>
      </c>
    </row>
    <row customHeight="1" ht="11.25">
      <c r="A319" s="4706" t="s">
        <v>2429</v>
      </c>
      <c r="B319" s="4706" t="s">
        <v>16</v>
      </c>
      <c r="C319" s="4706" t="s">
        <v>2584</v>
      </c>
      <c r="D319" s="4706" t="s">
        <v>2585</v>
      </c>
      <c r="E319" s="4706" t="s">
        <v>2586</v>
      </c>
      <c r="F319" s="4706" t="s">
        <v>2465</v>
      </c>
      <c r="G319" s="4706" t="s">
        <v>22</v>
      </c>
      <c r="H319" s="4706" t="s">
        <v>22</v>
      </c>
      <c r="I319" s="4706" t="s">
        <v>875</v>
      </c>
    </row>
    <row customHeight="1" ht="11.25">
      <c r="A320" s="4706" t="s">
        <v>2429</v>
      </c>
      <c r="B320" s="4706" t="s">
        <v>16</v>
      </c>
      <c r="C320" s="4706" t="s">
        <v>2587</v>
      </c>
      <c r="D320" s="4706" t="s">
        <v>2588</v>
      </c>
      <c r="E320" s="4706" t="s">
        <v>2589</v>
      </c>
      <c r="F320" s="4706" t="s">
        <v>2583</v>
      </c>
      <c r="G320" s="4706" t="s">
        <v>22</v>
      </c>
      <c r="H320" s="4706" t="s">
        <v>22</v>
      </c>
      <c r="I320" s="4706" t="s">
        <v>875</v>
      </c>
    </row>
    <row customHeight="1" ht="11.25">
      <c r="A321" s="4706" t="s">
        <v>2429</v>
      </c>
      <c r="B321" s="4706" t="s">
        <v>16</v>
      </c>
      <c r="C321" s="4706" t="s">
        <v>2597</v>
      </c>
      <c r="D321" s="4706" t="s">
        <v>2598</v>
      </c>
      <c r="E321" s="4706" t="s">
        <v>2599</v>
      </c>
      <c r="F321" s="4706" t="s">
        <v>2523</v>
      </c>
      <c r="G321" s="4706" t="s">
        <v>22</v>
      </c>
      <c r="H321" s="4706" t="s">
        <v>22</v>
      </c>
      <c r="I321" s="4706" t="s">
        <v>875</v>
      </c>
    </row>
    <row customHeight="1" ht="11.25">
      <c r="A322" s="4706" t="s">
        <v>2429</v>
      </c>
      <c r="B322" s="4706" t="s">
        <v>16</v>
      </c>
      <c r="C322" s="4706" t="s">
        <v>3158</v>
      </c>
      <c r="D322" s="4706" t="s">
        <v>3159</v>
      </c>
      <c r="E322" s="4706" t="s">
        <v>3160</v>
      </c>
      <c r="F322" s="4706" t="s">
        <v>2666</v>
      </c>
      <c r="G322" s="4706" t="s">
        <v>22</v>
      </c>
      <c r="H322" s="4706" t="s">
        <v>22</v>
      </c>
      <c r="I322" s="4706" t="s">
        <v>875</v>
      </c>
    </row>
    <row customHeight="1" ht="11.25">
      <c r="A323" s="4706" t="s">
        <v>2429</v>
      </c>
      <c r="B323" s="4706" t="s">
        <v>16</v>
      </c>
      <c r="C323" s="4706" t="s">
        <v>2600</v>
      </c>
      <c r="D323" s="4706" t="s">
        <v>2601</v>
      </c>
      <c r="E323" s="4706" t="s">
        <v>2602</v>
      </c>
      <c r="F323" s="4706" t="s">
        <v>2437</v>
      </c>
      <c r="G323" s="4706" t="s">
        <v>22</v>
      </c>
      <c r="H323" s="4706" t="s">
        <v>22</v>
      </c>
      <c r="I323" s="4706" t="s">
        <v>875</v>
      </c>
    </row>
    <row customHeight="1" ht="11.25">
      <c r="A324" s="4706" t="s">
        <v>2429</v>
      </c>
      <c r="B324" s="4706" t="s">
        <v>16</v>
      </c>
      <c r="C324" s="4706" t="s">
        <v>3161</v>
      </c>
      <c r="D324" s="4706" t="s">
        <v>3162</v>
      </c>
      <c r="E324" s="4706" t="s">
        <v>3163</v>
      </c>
      <c r="F324" s="4706" t="s">
        <v>2624</v>
      </c>
      <c r="G324" s="4706" t="s">
        <v>22</v>
      </c>
      <c r="H324" s="4706" t="s">
        <v>22</v>
      </c>
      <c r="I324" s="4706" t="s">
        <v>875</v>
      </c>
    </row>
    <row customHeight="1" ht="11.25">
      <c r="A325" s="4706" t="s">
        <v>2429</v>
      </c>
      <c r="B325" s="4706" t="s">
        <v>16</v>
      </c>
      <c r="C325" s="4706" t="s">
        <v>3164</v>
      </c>
      <c r="D325" s="4706" t="s">
        <v>3165</v>
      </c>
      <c r="E325" s="4706" t="s">
        <v>3166</v>
      </c>
      <c r="F325" s="4706" t="s">
        <v>2548</v>
      </c>
      <c r="G325" s="4706" t="s">
        <v>22</v>
      </c>
      <c r="H325" s="4706" t="s">
        <v>22</v>
      </c>
      <c r="I325" s="4706" t="s">
        <v>875</v>
      </c>
    </row>
    <row customHeight="1" ht="11.25">
      <c r="A326" s="4706" t="s">
        <v>2429</v>
      </c>
      <c r="B326" s="4706" t="s">
        <v>16</v>
      </c>
      <c r="C326" s="4706" t="s">
        <v>3167</v>
      </c>
      <c r="D326" s="4706" t="s">
        <v>3168</v>
      </c>
      <c r="E326" s="4706" t="s">
        <v>3169</v>
      </c>
      <c r="F326" s="4706" t="s">
        <v>2523</v>
      </c>
      <c r="G326" s="4706" t="s">
        <v>22</v>
      </c>
      <c r="H326" s="4706" t="s">
        <v>22</v>
      </c>
      <c r="I326" s="4706" t="s">
        <v>875</v>
      </c>
    </row>
    <row customHeight="1" ht="11.25">
      <c r="A327" s="4706" t="s">
        <v>2429</v>
      </c>
      <c r="B327" s="4706" t="s">
        <v>16</v>
      </c>
      <c r="C327" s="4706" t="s">
        <v>3170</v>
      </c>
      <c r="D327" s="4706" t="s">
        <v>3171</v>
      </c>
      <c r="E327" s="4706" t="s">
        <v>3172</v>
      </c>
      <c r="F327" s="4706" t="s">
        <v>2528</v>
      </c>
      <c r="G327" s="4706" t="s">
        <v>22</v>
      </c>
      <c r="H327" s="4706" t="s">
        <v>22</v>
      </c>
      <c r="I327" s="4706" t="s">
        <v>875</v>
      </c>
    </row>
    <row customHeight="1" ht="11.25">
      <c r="A328" s="4706" t="s">
        <v>2429</v>
      </c>
      <c r="B328" s="4706" t="s">
        <v>16</v>
      </c>
      <c r="C328" s="4706" t="s">
        <v>2603</v>
      </c>
      <c r="D328" s="4706" t="s">
        <v>2604</v>
      </c>
      <c r="E328" s="4706" t="s">
        <v>2605</v>
      </c>
      <c r="F328" s="4706" t="s">
        <v>2461</v>
      </c>
      <c r="G328" s="4706" t="s">
        <v>22</v>
      </c>
      <c r="H328" s="4706" t="s">
        <v>22</v>
      </c>
      <c r="I328" s="4706" t="s">
        <v>875</v>
      </c>
    </row>
    <row customHeight="1" ht="11.25">
      <c r="A329" s="4706" t="s">
        <v>2429</v>
      </c>
      <c r="B329" s="4706" t="s">
        <v>16</v>
      </c>
      <c r="C329" s="4706" t="s">
        <v>2606</v>
      </c>
      <c r="D329" s="4706" t="s">
        <v>2607</v>
      </c>
      <c r="E329" s="4706" t="s">
        <v>2608</v>
      </c>
      <c r="F329" s="4706" t="s">
        <v>2437</v>
      </c>
      <c r="G329" s="4706" t="s">
        <v>22</v>
      </c>
      <c r="H329" s="4706" t="s">
        <v>22</v>
      </c>
      <c r="I329" s="4706" t="s">
        <v>875</v>
      </c>
    </row>
    <row customHeight="1" ht="11.25">
      <c r="A330" s="4706" t="s">
        <v>2429</v>
      </c>
      <c r="B330" s="4706" t="s">
        <v>16</v>
      </c>
      <c r="C330" s="4706" t="s">
        <v>2615</v>
      </c>
      <c r="D330" s="4706" t="s">
        <v>2616</v>
      </c>
      <c r="E330" s="4706" t="s">
        <v>2617</v>
      </c>
      <c r="F330" s="4706" t="s">
        <v>2437</v>
      </c>
      <c r="G330" s="4706" t="s">
        <v>22</v>
      </c>
      <c r="H330" s="4706" t="s">
        <v>22</v>
      </c>
      <c r="I330" s="4706" t="s">
        <v>875</v>
      </c>
    </row>
    <row customHeight="1" ht="11.25">
      <c r="A331" s="4706" t="s">
        <v>2429</v>
      </c>
      <c r="B331" s="4706" t="s">
        <v>16</v>
      </c>
      <c r="C331" s="4706" t="s">
        <v>2621</v>
      </c>
      <c r="D331" s="4706" t="s">
        <v>2622</v>
      </c>
      <c r="E331" s="4706" t="s">
        <v>2623</v>
      </c>
      <c r="F331" s="4706" t="s">
        <v>2624</v>
      </c>
      <c r="G331" s="4706" t="s">
        <v>22</v>
      </c>
      <c r="H331" s="4706" t="s">
        <v>22</v>
      </c>
      <c r="I331" s="4706" t="s">
        <v>875</v>
      </c>
    </row>
    <row customHeight="1" ht="11.25">
      <c r="A332" s="4706" t="s">
        <v>2429</v>
      </c>
      <c r="B332" s="4706" t="s">
        <v>16</v>
      </c>
      <c r="C332" s="4706" t="s">
        <v>2625</v>
      </c>
      <c r="D332" s="4706" t="s">
        <v>2626</v>
      </c>
      <c r="E332" s="4706" t="s">
        <v>2627</v>
      </c>
      <c r="F332" s="4706" t="s">
        <v>2437</v>
      </c>
      <c r="G332" s="4706" t="s">
        <v>22</v>
      </c>
      <c r="H332" s="4706" t="s">
        <v>22</v>
      </c>
      <c r="I332" s="4706" t="s">
        <v>875</v>
      </c>
    </row>
    <row customHeight="1" ht="11.25">
      <c r="A333" s="4706" t="s">
        <v>2429</v>
      </c>
      <c r="B333" s="4706" t="s">
        <v>16</v>
      </c>
      <c r="C333" s="4706" t="s">
        <v>2631</v>
      </c>
      <c r="D333" s="4706" t="s">
        <v>2632</v>
      </c>
      <c r="E333" s="4706" t="s">
        <v>2633</v>
      </c>
      <c r="F333" s="4706" t="s">
        <v>2437</v>
      </c>
      <c r="G333" s="4706" t="s">
        <v>22</v>
      </c>
      <c r="H333" s="4706" t="s">
        <v>22</v>
      </c>
      <c r="I333" s="4706" t="s">
        <v>875</v>
      </c>
    </row>
    <row customHeight="1" ht="11.25">
      <c r="A334" s="4706" t="s">
        <v>2429</v>
      </c>
      <c r="B334" s="4706" t="s">
        <v>16</v>
      </c>
      <c r="C334" s="4706" t="s">
        <v>3173</v>
      </c>
      <c r="D334" s="4706" t="s">
        <v>3174</v>
      </c>
      <c r="E334" s="4706" t="s">
        <v>3175</v>
      </c>
      <c r="F334" s="4706" t="s">
        <v>2624</v>
      </c>
      <c r="G334" s="4706" t="s">
        <v>22</v>
      </c>
      <c r="H334" s="4706" t="s">
        <v>22</v>
      </c>
      <c r="I334" s="4706" t="s">
        <v>875</v>
      </c>
    </row>
    <row customHeight="1" ht="11.25">
      <c r="A335" s="4706" t="s">
        <v>2429</v>
      </c>
      <c r="B335" s="4706" t="s">
        <v>16</v>
      </c>
      <c r="C335" s="4706" t="s">
        <v>3176</v>
      </c>
      <c r="D335" s="4706" t="s">
        <v>3177</v>
      </c>
      <c r="E335" s="4706" t="s">
        <v>3178</v>
      </c>
      <c r="F335" s="4706" t="s">
        <v>2437</v>
      </c>
      <c r="G335" s="4706" t="s">
        <v>22</v>
      </c>
      <c r="H335" s="4706" t="s">
        <v>22</v>
      </c>
      <c r="I335" s="4706" t="s">
        <v>875</v>
      </c>
    </row>
    <row customHeight="1" ht="11.25">
      <c r="A336" s="4706" t="s">
        <v>2429</v>
      </c>
      <c r="B336" s="4706" t="s">
        <v>16</v>
      </c>
      <c r="C336" s="4706" t="s">
        <v>2654</v>
      </c>
      <c r="D336" s="4706" t="s">
        <v>2655</v>
      </c>
      <c r="E336" s="4706" t="s">
        <v>2656</v>
      </c>
      <c r="F336" s="4706" t="s">
        <v>2437</v>
      </c>
      <c r="G336" s="4706" t="s">
        <v>22</v>
      </c>
      <c r="H336" s="4706" t="s">
        <v>22</v>
      </c>
      <c r="I336" s="4706" t="s">
        <v>875</v>
      </c>
    </row>
    <row customHeight="1" ht="11.25">
      <c r="A337" s="4706" t="s">
        <v>2429</v>
      </c>
      <c r="B337" s="4706" t="s">
        <v>16</v>
      </c>
      <c r="C337" s="4706" t="s">
        <v>2657</v>
      </c>
      <c r="D337" s="4706" t="s">
        <v>2658</v>
      </c>
      <c r="E337" s="4706" t="s">
        <v>2659</v>
      </c>
      <c r="F337" s="4706" t="s">
        <v>2555</v>
      </c>
      <c r="G337" s="4706" t="s">
        <v>22</v>
      </c>
      <c r="H337" s="4706" t="s">
        <v>22</v>
      </c>
      <c r="I337" s="4706" t="s">
        <v>875</v>
      </c>
    </row>
    <row customHeight="1" ht="11.25">
      <c r="A338" s="4706" t="s">
        <v>2429</v>
      </c>
      <c r="B338" s="4706" t="s">
        <v>16</v>
      </c>
      <c r="C338" s="4706" t="s">
        <v>3179</v>
      </c>
      <c r="D338" s="4706" t="s">
        <v>3180</v>
      </c>
      <c r="E338" s="4706" t="s">
        <v>3181</v>
      </c>
      <c r="F338" s="4706" t="s">
        <v>2523</v>
      </c>
      <c r="G338" s="4706" t="s">
        <v>22</v>
      </c>
      <c r="H338" s="4706" t="s">
        <v>22</v>
      </c>
      <c r="I338" s="4706" t="s">
        <v>875</v>
      </c>
    </row>
    <row customHeight="1" ht="11.25">
      <c r="A339" s="4706" t="s">
        <v>2429</v>
      </c>
      <c r="B339" s="4706" t="s">
        <v>16</v>
      </c>
      <c r="C339" s="4706" t="s">
        <v>2663</v>
      </c>
      <c r="D339" s="4706" t="s">
        <v>2664</v>
      </c>
      <c r="E339" s="4706" t="s">
        <v>2665</v>
      </c>
      <c r="F339" s="4706" t="s">
        <v>2666</v>
      </c>
      <c r="G339" s="4706" t="s">
        <v>2667</v>
      </c>
      <c r="H339" s="4706" t="s">
        <v>22</v>
      </c>
      <c r="I339" s="4706" t="s">
        <v>875</v>
      </c>
    </row>
    <row customHeight="1" ht="11.25">
      <c r="A340" s="4706" t="s">
        <v>2429</v>
      </c>
      <c r="B340" s="4706" t="s">
        <v>16</v>
      </c>
      <c r="C340" s="4706" t="s">
        <v>2668</v>
      </c>
      <c r="D340" s="4706" t="s">
        <v>2669</v>
      </c>
      <c r="E340" s="4706" t="s">
        <v>2670</v>
      </c>
      <c r="F340" s="4706" t="s">
        <v>2666</v>
      </c>
      <c r="G340" s="4706" t="s">
        <v>22</v>
      </c>
      <c r="H340" s="4706" t="s">
        <v>22</v>
      </c>
      <c r="I340" s="4706" t="s">
        <v>875</v>
      </c>
    </row>
    <row customHeight="1" ht="11.25">
      <c r="A341" s="4706" t="s">
        <v>2429</v>
      </c>
      <c r="B341" s="4706" t="s">
        <v>16</v>
      </c>
      <c r="C341" s="4706" t="s">
        <v>3084</v>
      </c>
      <c r="D341" s="4706" t="s">
        <v>3085</v>
      </c>
      <c r="E341" s="4706" t="s">
        <v>3086</v>
      </c>
      <c r="F341" s="4706" t="s">
        <v>2666</v>
      </c>
      <c r="G341" s="4706" t="s">
        <v>22</v>
      </c>
      <c r="H341" s="4706" t="s">
        <v>22</v>
      </c>
      <c r="I341" s="4706" t="s">
        <v>875</v>
      </c>
    </row>
    <row customHeight="1" ht="11.25">
      <c r="A342" s="4706" t="s">
        <v>2429</v>
      </c>
      <c r="B342" s="4706" t="s">
        <v>16</v>
      </c>
      <c r="C342" s="4706" t="s">
        <v>2674</v>
      </c>
      <c r="D342" s="4706" t="s">
        <v>2675</v>
      </c>
      <c r="E342" s="4706" t="s">
        <v>2676</v>
      </c>
      <c r="F342" s="4706" t="s">
        <v>2437</v>
      </c>
      <c r="G342" s="4706" t="s">
        <v>22</v>
      </c>
      <c r="H342" s="4706" t="s">
        <v>22</v>
      </c>
      <c r="I342" s="4706" t="s">
        <v>875</v>
      </c>
    </row>
    <row customHeight="1" ht="11.25">
      <c r="A343" s="4706" t="s">
        <v>2429</v>
      </c>
      <c r="B343" s="4706" t="s">
        <v>16</v>
      </c>
      <c r="C343" s="4706" t="s">
        <v>2677</v>
      </c>
      <c r="D343" s="4706" t="s">
        <v>2678</v>
      </c>
      <c r="E343" s="4706" t="s">
        <v>2679</v>
      </c>
      <c r="F343" s="4706" t="s">
        <v>2465</v>
      </c>
      <c r="G343" s="4706" t="s">
        <v>22</v>
      </c>
      <c r="H343" s="4706" t="s">
        <v>22</v>
      </c>
      <c r="I343" s="4706" t="s">
        <v>875</v>
      </c>
    </row>
    <row customHeight="1" ht="11.25">
      <c r="A344" s="4706" t="s">
        <v>2429</v>
      </c>
      <c r="B344" s="4706" t="s">
        <v>16</v>
      </c>
      <c r="C344" s="4706" t="s">
        <v>2680</v>
      </c>
      <c r="D344" s="4706" t="s">
        <v>2681</v>
      </c>
      <c r="E344" s="4706" t="s">
        <v>2682</v>
      </c>
      <c r="F344" s="4706" t="s">
        <v>2465</v>
      </c>
      <c r="G344" s="4706" t="s">
        <v>2683</v>
      </c>
      <c r="H344" s="4706" t="s">
        <v>22</v>
      </c>
      <c r="I344" s="4706" t="s">
        <v>875</v>
      </c>
    </row>
    <row customHeight="1" ht="11.25">
      <c r="A345" s="4706" t="s">
        <v>2429</v>
      </c>
      <c r="B345" s="4706" t="s">
        <v>16</v>
      </c>
      <c r="C345" s="4706" t="s">
        <v>3182</v>
      </c>
      <c r="D345" s="4706" t="s">
        <v>3183</v>
      </c>
      <c r="E345" s="4706" t="s">
        <v>3184</v>
      </c>
      <c r="F345" s="4706" t="s">
        <v>2528</v>
      </c>
      <c r="G345" s="4706" t="s">
        <v>22</v>
      </c>
      <c r="H345" s="4706" t="s">
        <v>22</v>
      </c>
      <c r="I345" s="4706" t="s">
        <v>875</v>
      </c>
    </row>
    <row customHeight="1" ht="11.25">
      <c r="A346" s="4706" t="s">
        <v>2429</v>
      </c>
      <c r="B346" s="4706" t="s">
        <v>16</v>
      </c>
      <c r="C346" s="4706" t="s">
        <v>3185</v>
      </c>
      <c r="D346" s="4706" t="s">
        <v>3186</v>
      </c>
      <c r="E346" s="4706" t="s">
        <v>3187</v>
      </c>
      <c r="F346" s="4706" t="s">
        <v>2624</v>
      </c>
      <c r="G346" s="4706" t="s">
        <v>22</v>
      </c>
      <c r="H346" s="4706" t="s">
        <v>22</v>
      </c>
      <c r="I346" s="4706" t="s">
        <v>875</v>
      </c>
    </row>
    <row customHeight="1" ht="11.25">
      <c r="A347" s="4706" t="s">
        <v>2429</v>
      </c>
      <c r="B347" s="4706" t="s">
        <v>16</v>
      </c>
      <c r="C347" s="4706" t="s">
        <v>3188</v>
      </c>
      <c r="D347" s="4706" t="s">
        <v>3186</v>
      </c>
      <c r="E347" s="4706" t="s">
        <v>3189</v>
      </c>
      <c r="F347" s="4706" t="s">
        <v>2465</v>
      </c>
      <c r="G347" s="4706" t="s">
        <v>3190</v>
      </c>
      <c r="H347" s="4706" t="s">
        <v>22</v>
      </c>
      <c r="I347" s="4706" t="s">
        <v>875</v>
      </c>
    </row>
    <row customHeight="1" ht="11.25">
      <c r="A348" s="4706" t="s">
        <v>2429</v>
      </c>
      <c r="B348" s="4706" t="s">
        <v>16</v>
      </c>
      <c r="C348" s="4706" t="s">
        <v>3191</v>
      </c>
      <c r="D348" s="4706" t="s">
        <v>3192</v>
      </c>
      <c r="E348" s="4706" t="s">
        <v>3193</v>
      </c>
      <c r="F348" s="4706" t="s">
        <v>2570</v>
      </c>
      <c r="G348" s="4706" t="s">
        <v>22</v>
      </c>
      <c r="H348" s="4706" t="s">
        <v>22</v>
      </c>
      <c r="I348" s="4706" t="s">
        <v>875</v>
      </c>
    </row>
    <row customHeight="1" ht="11.25">
      <c r="A349" s="4706" t="s">
        <v>2429</v>
      </c>
      <c r="B349" s="4706" t="s">
        <v>16</v>
      </c>
      <c r="C349" s="4706" t="s">
        <v>3194</v>
      </c>
      <c r="D349" s="4706" t="s">
        <v>3195</v>
      </c>
      <c r="E349" s="4706" t="s">
        <v>3196</v>
      </c>
      <c r="F349" s="4706" t="s">
        <v>2523</v>
      </c>
      <c r="G349" s="4706" t="s">
        <v>22</v>
      </c>
      <c r="H349" s="4706" t="s">
        <v>22</v>
      </c>
      <c r="I349" s="4706" t="s">
        <v>875</v>
      </c>
    </row>
    <row customHeight="1" ht="11.25">
      <c r="A350" s="4706" t="s">
        <v>2429</v>
      </c>
      <c r="B350" s="4706" t="s">
        <v>16</v>
      </c>
      <c r="C350" s="4706" t="s">
        <v>3197</v>
      </c>
      <c r="D350" s="4706" t="s">
        <v>3198</v>
      </c>
      <c r="E350" s="4706" t="s">
        <v>3199</v>
      </c>
      <c r="F350" s="4706" t="s">
        <v>2774</v>
      </c>
      <c r="G350" s="4706" t="s">
        <v>22</v>
      </c>
      <c r="H350" s="4706" t="s">
        <v>22</v>
      </c>
      <c r="I350" s="4706" t="s">
        <v>875</v>
      </c>
    </row>
    <row customHeight="1" ht="11.25">
      <c r="A351" s="4706" t="s">
        <v>2429</v>
      </c>
      <c r="B351" s="4706" t="s">
        <v>16</v>
      </c>
      <c r="C351" s="4706" t="s">
        <v>3200</v>
      </c>
      <c r="D351" s="4706" t="s">
        <v>3201</v>
      </c>
      <c r="E351" s="4706" t="s">
        <v>3202</v>
      </c>
      <c r="F351" s="4706" t="s">
        <v>2624</v>
      </c>
      <c r="G351" s="4706" t="s">
        <v>22</v>
      </c>
      <c r="H351" s="4706" t="s">
        <v>22</v>
      </c>
      <c r="I351" s="4706" t="s">
        <v>875</v>
      </c>
    </row>
    <row customHeight="1" ht="11.25">
      <c r="A352" s="4706" t="s">
        <v>2429</v>
      </c>
      <c r="B352" s="4706" t="s">
        <v>16</v>
      </c>
      <c r="C352" s="4706" t="s">
        <v>3203</v>
      </c>
      <c r="D352" s="4706" t="s">
        <v>3204</v>
      </c>
      <c r="E352" s="4706" t="s">
        <v>3205</v>
      </c>
      <c r="F352" s="4706" t="s">
        <v>2528</v>
      </c>
      <c r="G352" s="4706" t="s">
        <v>3206</v>
      </c>
      <c r="H352" s="4706" t="s">
        <v>22</v>
      </c>
      <c r="I352" s="4706" t="s">
        <v>875</v>
      </c>
    </row>
    <row customHeight="1" ht="11.25">
      <c r="A353" s="4706" t="s">
        <v>2429</v>
      </c>
      <c r="B353" s="4706" t="s">
        <v>16</v>
      </c>
      <c r="C353" s="4706" t="s">
        <v>2687</v>
      </c>
      <c r="D353" s="4706" t="s">
        <v>2688</v>
      </c>
      <c r="E353" s="4706" t="s">
        <v>2689</v>
      </c>
      <c r="F353" s="4706" t="s">
        <v>2437</v>
      </c>
      <c r="G353" s="4706" t="s">
        <v>22</v>
      </c>
      <c r="H353" s="4706" t="s">
        <v>22</v>
      </c>
      <c r="I353" s="4706" t="s">
        <v>875</v>
      </c>
    </row>
    <row customHeight="1" ht="11.25">
      <c r="A354" s="4706" t="s">
        <v>2429</v>
      </c>
      <c r="B354" s="4706" t="s">
        <v>16</v>
      </c>
      <c r="C354" s="4706" t="s">
        <v>2690</v>
      </c>
      <c r="D354" s="4706" t="s">
        <v>2691</v>
      </c>
      <c r="E354" s="4706" t="s">
        <v>2692</v>
      </c>
      <c r="F354" s="4706" t="s">
        <v>2437</v>
      </c>
      <c r="G354" s="4706" t="s">
        <v>22</v>
      </c>
      <c r="H354" s="4706" t="s">
        <v>22</v>
      </c>
      <c r="I354" s="4706" t="s">
        <v>875</v>
      </c>
    </row>
    <row customHeight="1" ht="11.25">
      <c r="A355" s="4706" t="s">
        <v>2429</v>
      </c>
      <c r="B355" s="4706" t="s">
        <v>16</v>
      </c>
      <c r="C355" s="4706" t="s">
        <v>3207</v>
      </c>
      <c r="D355" s="4706" t="s">
        <v>3208</v>
      </c>
      <c r="E355" s="4706" t="s">
        <v>3209</v>
      </c>
      <c r="F355" s="4706" t="s">
        <v>2528</v>
      </c>
      <c r="G355" s="4706" t="s">
        <v>22</v>
      </c>
      <c r="H355" s="4706" t="s">
        <v>22</v>
      </c>
      <c r="I355" s="4706" t="s">
        <v>875</v>
      </c>
    </row>
    <row customHeight="1" ht="11.25">
      <c r="A356" s="4706" t="s">
        <v>2429</v>
      </c>
      <c r="B356" s="4706" t="s">
        <v>16</v>
      </c>
      <c r="C356" s="4706" t="s">
        <v>2693</v>
      </c>
      <c r="D356" s="4706" t="s">
        <v>2694</v>
      </c>
      <c r="E356" s="4706" t="s">
        <v>2695</v>
      </c>
      <c r="F356" s="4706" t="s">
        <v>2437</v>
      </c>
      <c r="G356" s="4706" t="s">
        <v>22</v>
      </c>
      <c r="H356" s="4706" t="s">
        <v>22</v>
      </c>
      <c r="I356" s="4706" t="s">
        <v>875</v>
      </c>
    </row>
    <row customHeight="1" ht="11.25">
      <c r="A357" s="4706" t="s">
        <v>2429</v>
      </c>
      <c r="B357" s="4706" t="s">
        <v>16</v>
      </c>
      <c r="C357" s="4706" t="s">
        <v>3087</v>
      </c>
      <c r="D357" s="4706" t="s">
        <v>3088</v>
      </c>
      <c r="E357" s="4706" t="s">
        <v>3089</v>
      </c>
      <c r="F357" s="4706" t="s">
        <v>2896</v>
      </c>
      <c r="G357" s="4706" t="s">
        <v>22</v>
      </c>
      <c r="H357" s="4706" t="s">
        <v>22</v>
      </c>
      <c r="I357" s="4706" t="s">
        <v>875</v>
      </c>
    </row>
    <row customHeight="1" ht="11.25">
      <c r="A358" s="4706" t="s">
        <v>2429</v>
      </c>
      <c r="B358" s="4706" t="s">
        <v>16</v>
      </c>
      <c r="C358" s="4706" t="s">
        <v>2703</v>
      </c>
      <c r="D358" s="4706" t="s">
        <v>2704</v>
      </c>
      <c r="E358" s="4706" t="s">
        <v>2705</v>
      </c>
      <c r="F358" s="4706" t="s">
        <v>2570</v>
      </c>
      <c r="G358" s="4706" t="s">
        <v>22</v>
      </c>
      <c r="H358" s="4706" t="s">
        <v>22</v>
      </c>
      <c r="I358" s="4706" t="s">
        <v>875</v>
      </c>
    </row>
    <row customHeight="1" ht="11.25">
      <c r="A359" s="4706" t="s">
        <v>2429</v>
      </c>
      <c r="B359" s="4706" t="s">
        <v>16</v>
      </c>
      <c r="C359" s="4706" t="s">
        <v>2713</v>
      </c>
      <c r="D359" s="4706" t="s">
        <v>2714</v>
      </c>
      <c r="E359" s="4706" t="s">
        <v>2715</v>
      </c>
      <c r="F359" s="4706" t="s">
        <v>2437</v>
      </c>
      <c r="G359" s="4706" t="s">
        <v>2716</v>
      </c>
      <c r="H359" s="4706" t="s">
        <v>22</v>
      </c>
      <c r="I359" s="4706" t="s">
        <v>875</v>
      </c>
    </row>
    <row customHeight="1" ht="11.25">
      <c r="A360" s="4706" t="s">
        <v>2429</v>
      </c>
      <c r="B360" s="4706" t="s">
        <v>16</v>
      </c>
      <c r="C360" s="4706" t="s">
        <v>2723</v>
      </c>
      <c r="D360" s="4706" t="s">
        <v>2724</v>
      </c>
      <c r="E360" s="4706" t="s">
        <v>2725</v>
      </c>
      <c r="F360" s="4706" t="s">
        <v>2570</v>
      </c>
      <c r="G360" s="4706" t="s">
        <v>22</v>
      </c>
      <c r="H360" s="4706" t="s">
        <v>22</v>
      </c>
      <c r="I360" s="4706" t="s">
        <v>875</v>
      </c>
    </row>
    <row customHeight="1" ht="11.25">
      <c r="A361" s="4706" t="s">
        <v>2429</v>
      </c>
      <c r="B361" s="4706" t="s">
        <v>16</v>
      </c>
      <c r="C361" s="4706" t="s">
        <v>2726</v>
      </c>
      <c r="D361" s="4706" t="s">
        <v>2727</v>
      </c>
      <c r="E361" s="4706" t="s">
        <v>2728</v>
      </c>
      <c r="F361" s="4706" t="s">
        <v>2461</v>
      </c>
      <c r="G361" s="4706" t="s">
        <v>2729</v>
      </c>
      <c r="H361" s="4706" t="s">
        <v>22</v>
      </c>
      <c r="I361" s="4706" t="s">
        <v>875</v>
      </c>
    </row>
    <row customHeight="1" ht="11.25">
      <c r="A362" s="4706" t="s">
        <v>2429</v>
      </c>
      <c r="B362" s="4706" t="s">
        <v>16</v>
      </c>
      <c r="C362" s="4706" t="s">
        <v>2730</v>
      </c>
      <c r="D362" s="4706" t="s">
        <v>2731</v>
      </c>
      <c r="E362" s="4706" t="s">
        <v>2732</v>
      </c>
      <c r="F362" s="4706" t="s">
        <v>2437</v>
      </c>
      <c r="G362" s="4706" t="s">
        <v>2733</v>
      </c>
      <c r="H362" s="4706" t="s">
        <v>22</v>
      </c>
      <c r="I362" s="4706" t="s">
        <v>875</v>
      </c>
    </row>
    <row customHeight="1" ht="11.25">
      <c r="A363" s="4706" t="s">
        <v>2429</v>
      </c>
      <c r="B363" s="4706" t="s">
        <v>16</v>
      </c>
      <c r="C363" s="4706" t="s">
        <v>3210</v>
      </c>
      <c r="D363" s="4706" t="s">
        <v>3211</v>
      </c>
      <c r="E363" s="4706" t="s">
        <v>3212</v>
      </c>
      <c r="F363" s="4706" t="s">
        <v>2643</v>
      </c>
      <c r="G363" s="4706" t="s">
        <v>22</v>
      </c>
      <c r="H363" s="4706" t="s">
        <v>22</v>
      </c>
      <c r="I363" s="4706" t="s">
        <v>875</v>
      </c>
    </row>
    <row customHeight="1" ht="11.25">
      <c r="A364" s="4706" t="s">
        <v>2429</v>
      </c>
      <c r="B364" s="4706" t="s">
        <v>16</v>
      </c>
      <c r="C364" s="4706" t="s">
        <v>3213</v>
      </c>
      <c r="D364" s="4706" t="s">
        <v>3214</v>
      </c>
      <c r="E364" s="4706" t="s">
        <v>3215</v>
      </c>
      <c r="F364" s="4706" t="s">
        <v>2740</v>
      </c>
      <c r="G364" s="4706" t="s">
        <v>22</v>
      </c>
      <c r="H364" s="4706" t="s">
        <v>22</v>
      </c>
      <c r="I364" s="4706" t="s">
        <v>875</v>
      </c>
    </row>
    <row customHeight="1" ht="11.25">
      <c r="A365" s="4706" t="s">
        <v>2429</v>
      </c>
      <c r="B365" s="4706" t="s">
        <v>16</v>
      </c>
      <c r="C365" s="4706" t="s">
        <v>2734</v>
      </c>
      <c r="D365" s="4706" t="s">
        <v>2735</v>
      </c>
      <c r="E365" s="4706" t="s">
        <v>2736</v>
      </c>
      <c r="F365" s="4706" t="s">
        <v>2465</v>
      </c>
      <c r="G365" s="4706" t="s">
        <v>22</v>
      </c>
      <c r="H365" s="4706" t="s">
        <v>22</v>
      </c>
      <c r="I365" s="4706" t="s">
        <v>875</v>
      </c>
    </row>
    <row customHeight="1" ht="11.25">
      <c r="A366" s="4706" t="s">
        <v>2429</v>
      </c>
      <c r="B366" s="4706" t="s">
        <v>16</v>
      </c>
      <c r="C366" s="4706" t="s">
        <v>3216</v>
      </c>
      <c r="D366" s="4706" t="s">
        <v>3217</v>
      </c>
      <c r="E366" s="4706" t="s">
        <v>3218</v>
      </c>
      <c r="F366" s="4706" t="s">
        <v>2896</v>
      </c>
      <c r="G366" s="4706" t="s">
        <v>22</v>
      </c>
      <c r="H366" s="4706" t="s">
        <v>22</v>
      </c>
      <c r="I366" s="4706" t="s">
        <v>875</v>
      </c>
    </row>
    <row customHeight="1" ht="11.25">
      <c r="A367" s="4706" t="s">
        <v>2429</v>
      </c>
      <c r="B367" s="4706" t="s">
        <v>16</v>
      </c>
      <c r="C367" s="4706" t="s">
        <v>3219</v>
      </c>
      <c r="D367" s="4706" t="s">
        <v>3220</v>
      </c>
      <c r="E367" s="4706" t="s">
        <v>3221</v>
      </c>
      <c r="F367" s="4706" t="s">
        <v>2465</v>
      </c>
      <c r="G367" s="4706" t="s">
        <v>22</v>
      </c>
      <c r="H367" s="4706" t="s">
        <v>22</v>
      </c>
      <c r="I367" s="4706" t="s">
        <v>875</v>
      </c>
    </row>
    <row customHeight="1" ht="11.25">
      <c r="A368" s="4706" t="s">
        <v>2429</v>
      </c>
      <c r="B368" s="4706" t="s">
        <v>16</v>
      </c>
      <c r="C368" s="4706" t="s">
        <v>3222</v>
      </c>
      <c r="D368" s="4706" t="s">
        <v>2749</v>
      </c>
      <c r="E368" s="4706" t="s">
        <v>3223</v>
      </c>
      <c r="F368" s="4706" t="s">
        <v>2896</v>
      </c>
      <c r="G368" s="4706" t="s">
        <v>3224</v>
      </c>
      <c r="H368" s="4706" t="s">
        <v>22</v>
      </c>
      <c r="I368" s="4706" t="s">
        <v>875</v>
      </c>
    </row>
    <row customHeight="1" ht="11.25">
      <c r="A369" s="4706" t="s">
        <v>2429</v>
      </c>
      <c r="B369" s="4706" t="s">
        <v>16</v>
      </c>
      <c r="C369" s="4706" t="s">
        <v>2756</v>
      </c>
      <c r="D369" s="4706" t="s">
        <v>2757</v>
      </c>
      <c r="E369" s="4706" t="s">
        <v>2758</v>
      </c>
      <c r="F369" s="4706" t="s">
        <v>2469</v>
      </c>
      <c r="G369" s="4706" t="s">
        <v>22</v>
      </c>
      <c r="H369" s="4706" t="s">
        <v>22</v>
      </c>
      <c r="I369" s="4706" t="s">
        <v>875</v>
      </c>
    </row>
    <row customHeight="1" ht="11.25">
      <c r="A370" s="4706" t="s">
        <v>2429</v>
      </c>
      <c r="B370" s="4706" t="s">
        <v>16</v>
      </c>
      <c r="C370" s="4706" t="s">
        <v>2762</v>
      </c>
      <c r="D370" s="4706" t="s">
        <v>2763</v>
      </c>
      <c r="E370" s="4706" t="s">
        <v>2764</v>
      </c>
      <c r="F370" s="4706" t="s">
        <v>2465</v>
      </c>
      <c r="G370" s="4706" t="s">
        <v>22</v>
      </c>
      <c r="H370" s="4706" t="s">
        <v>22</v>
      </c>
      <c r="I370" s="4706" t="s">
        <v>875</v>
      </c>
    </row>
    <row customHeight="1" ht="11.25">
      <c r="A371" s="4706" t="s">
        <v>2429</v>
      </c>
      <c r="B371" s="4706" t="s">
        <v>16</v>
      </c>
      <c r="C371" s="4706" t="s">
        <v>3225</v>
      </c>
      <c r="D371" s="4706" t="s">
        <v>3226</v>
      </c>
      <c r="E371" s="4706" t="s">
        <v>3227</v>
      </c>
      <c r="F371" s="4706" t="s">
        <v>2523</v>
      </c>
      <c r="G371" s="4706" t="s">
        <v>22</v>
      </c>
      <c r="H371" s="4706" t="s">
        <v>22</v>
      </c>
      <c r="I371" s="4706" t="s">
        <v>875</v>
      </c>
    </row>
    <row customHeight="1" ht="11.25">
      <c r="A372" s="4706" t="s">
        <v>2429</v>
      </c>
      <c r="B372" s="4706" t="s">
        <v>16</v>
      </c>
      <c r="C372" s="4706" t="s">
        <v>2765</v>
      </c>
      <c r="D372" s="4706" t="s">
        <v>2766</v>
      </c>
      <c r="E372" s="4706" t="s">
        <v>2767</v>
      </c>
      <c r="F372" s="4706" t="s">
        <v>2624</v>
      </c>
      <c r="G372" s="4706" t="s">
        <v>22</v>
      </c>
      <c r="H372" s="4706" t="s">
        <v>22</v>
      </c>
      <c r="I372" s="4706" t="s">
        <v>875</v>
      </c>
    </row>
    <row customHeight="1" ht="11.25">
      <c r="A373" s="4706" t="s">
        <v>2429</v>
      </c>
      <c r="B373" s="4706" t="s">
        <v>16</v>
      </c>
      <c r="C373" s="4706" t="s">
        <v>2775</v>
      </c>
      <c r="D373" s="4706" t="s">
        <v>2776</v>
      </c>
      <c r="E373" s="4706" t="s">
        <v>2777</v>
      </c>
      <c r="F373" s="4706" t="s">
        <v>2778</v>
      </c>
      <c r="G373" s="4706" t="s">
        <v>22</v>
      </c>
      <c r="H373" s="4706" t="s">
        <v>22</v>
      </c>
      <c r="I373" s="4706" t="s">
        <v>875</v>
      </c>
    </row>
    <row customHeight="1" ht="11.25">
      <c r="A374" s="4706" t="s">
        <v>2429</v>
      </c>
      <c r="B374" s="4706" t="s">
        <v>16</v>
      </c>
      <c r="C374" s="4706" t="s">
        <v>2779</v>
      </c>
      <c r="D374" s="4706" t="s">
        <v>2780</v>
      </c>
      <c r="E374" s="4706" t="s">
        <v>2781</v>
      </c>
      <c r="F374" s="4706" t="s">
        <v>2778</v>
      </c>
      <c r="G374" s="4706" t="s">
        <v>22</v>
      </c>
      <c r="H374" s="4706" t="s">
        <v>22</v>
      </c>
      <c r="I374" s="4706" t="s">
        <v>875</v>
      </c>
    </row>
    <row customHeight="1" ht="11.25">
      <c r="A375" s="4706" t="s">
        <v>2429</v>
      </c>
      <c r="B375" s="4706" t="s">
        <v>16</v>
      </c>
      <c r="C375" s="4706" t="s">
        <v>2785</v>
      </c>
      <c r="D375" s="4706" t="s">
        <v>2783</v>
      </c>
      <c r="E375" s="4706" t="s">
        <v>2786</v>
      </c>
      <c r="F375" s="4706" t="s">
        <v>2778</v>
      </c>
      <c r="G375" s="4706" t="s">
        <v>22</v>
      </c>
      <c r="H375" s="4706" t="s">
        <v>22</v>
      </c>
      <c r="I375" s="4706" t="s">
        <v>875</v>
      </c>
    </row>
    <row customHeight="1" ht="11.25">
      <c r="A376" s="4706" t="s">
        <v>2429</v>
      </c>
      <c r="B376" s="4706" t="s">
        <v>16</v>
      </c>
      <c r="C376" s="4706" t="s">
        <v>2787</v>
      </c>
      <c r="D376" s="4706" t="s">
        <v>2788</v>
      </c>
      <c r="E376" s="4706" t="s">
        <v>2789</v>
      </c>
      <c r="F376" s="4706" t="s">
        <v>2437</v>
      </c>
      <c r="G376" s="4706" t="s">
        <v>22</v>
      </c>
      <c r="H376" s="4706" t="s">
        <v>22</v>
      </c>
      <c r="I376" s="4706" t="s">
        <v>875</v>
      </c>
    </row>
    <row customHeight="1" ht="11.25">
      <c r="A377" s="4706" t="s">
        <v>2429</v>
      </c>
      <c r="B377" s="4706" t="s">
        <v>16</v>
      </c>
      <c r="C377" s="4706" t="s">
        <v>2796</v>
      </c>
      <c r="D377" s="4706" t="s">
        <v>2797</v>
      </c>
      <c r="E377" s="4706" t="s">
        <v>2798</v>
      </c>
      <c r="F377" s="4706" t="s">
        <v>2437</v>
      </c>
      <c r="G377" s="4706" t="s">
        <v>2799</v>
      </c>
      <c r="H377" s="4706" t="s">
        <v>22</v>
      </c>
      <c r="I377" s="4706" t="s">
        <v>875</v>
      </c>
    </row>
    <row customHeight="1" ht="11.25">
      <c r="A378" s="4706" t="s">
        <v>2429</v>
      </c>
      <c r="B378" s="4706" t="s">
        <v>16</v>
      </c>
      <c r="C378" s="4706" t="s">
        <v>2800</v>
      </c>
      <c r="D378" s="4706" t="s">
        <v>2801</v>
      </c>
      <c r="E378" s="4706" t="s">
        <v>2802</v>
      </c>
      <c r="F378" s="4706" t="s">
        <v>2437</v>
      </c>
      <c r="G378" s="4706" t="s">
        <v>22</v>
      </c>
      <c r="H378" s="4706" t="s">
        <v>22</v>
      </c>
      <c r="I378" s="4706" t="s">
        <v>875</v>
      </c>
    </row>
    <row customHeight="1" ht="11.25">
      <c r="A379" s="4706" t="s">
        <v>2429</v>
      </c>
      <c r="B379" s="4706" t="s">
        <v>16</v>
      </c>
      <c r="C379" s="4706" t="s">
        <v>2809</v>
      </c>
      <c r="D379" s="4706" t="s">
        <v>2810</v>
      </c>
      <c r="E379" s="4706" t="s">
        <v>2811</v>
      </c>
      <c r="F379" s="4706" t="s">
        <v>2812</v>
      </c>
      <c r="G379" s="4706" t="s">
        <v>22</v>
      </c>
      <c r="H379" s="4706" t="s">
        <v>22</v>
      </c>
      <c r="I379" s="4706" t="s">
        <v>875</v>
      </c>
    </row>
    <row customHeight="1" ht="11.25">
      <c r="A380" s="4706" t="s">
        <v>2429</v>
      </c>
      <c r="B380" s="4706" t="s">
        <v>16</v>
      </c>
      <c r="C380" s="4706" t="s">
        <v>2813</v>
      </c>
      <c r="D380" s="4706" t="s">
        <v>2814</v>
      </c>
      <c r="E380" s="4706" t="s">
        <v>2815</v>
      </c>
      <c r="F380" s="4706" t="s">
        <v>2548</v>
      </c>
      <c r="G380" s="4706" t="s">
        <v>22</v>
      </c>
      <c r="H380" s="4706" t="s">
        <v>22</v>
      </c>
      <c r="I380" s="4706" t="s">
        <v>875</v>
      </c>
    </row>
    <row customHeight="1" ht="11.25">
      <c r="A381" s="4706" t="s">
        <v>2429</v>
      </c>
      <c r="B381" s="4706" t="s">
        <v>16</v>
      </c>
      <c r="C381" s="4706" t="s">
        <v>2823</v>
      </c>
      <c r="D381" s="4706" t="s">
        <v>2824</v>
      </c>
      <c r="E381" s="4706" t="s">
        <v>2825</v>
      </c>
      <c r="F381" s="4706" t="s">
        <v>2774</v>
      </c>
      <c r="G381" s="4706" t="s">
        <v>22</v>
      </c>
      <c r="H381" s="4706" t="s">
        <v>22</v>
      </c>
      <c r="I381" s="4706" t="s">
        <v>875</v>
      </c>
    </row>
    <row customHeight="1" ht="11.25">
      <c r="A382" s="4706" t="s">
        <v>2429</v>
      </c>
      <c r="B382" s="4706" t="s">
        <v>16</v>
      </c>
      <c r="C382" s="4706" t="s">
        <v>3228</v>
      </c>
      <c r="D382" s="4706" t="s">
        <v>3229</v>
      </c>
      <c r="E382" s="4706" t="s">
        <v>3230</v>
      </c>
      <c r="F382" s="4706" t="s">
        <v>2563</v>
      </c>
      <c r="G382" s="4706" t="s">
        <v>22</v>
      </c>
      <c r="H382" s="4706" t="s">
        <v>22</v>
      </c>
      <c r="I382" s="4706" t="s">
        <v>875</v>
      </c>
    </row>
    <row customHeight="1" ht="11.25">
      <c r="A383" s="4706" t="s">
        <v>2429</v>
      </c>
      <c r="B383" s="4706" t="s">
        <v>16</v>
      </c>
      <c r="C383" s="4706" t="s">
        <v>2836</v>
      </c>
      <c r="D383" s="4706" t="s">
        <v>2837</v>
      </c>
      <c r="E383" s="4706" t="s">
        <v>2838</v>
      </c>
      <c r="F383" s="4706" t="s">
        <v>2437</v>
      </c>
      <c r="G383" s="4706" t="s">
        <v>22</v>
      </c>
      <c r="H383" s="4706" t="s">
        <v>22</v>
      </c>
      <c r="I383" s="4706" t="s">
        <v>875</v>
      </c>
    </row>
    <row customHeight="1" ht="11.25">
      <c r="A384" s="4706" t="s">
        <v>2429</v>
      </c>
      <c r="B384" s="4706" t="s">
        <v>16</v>
      </c>
      <c r="C384" s="4706" t="s">
        <v>2842</v>
      </c>
      <c r="D384" s="4706" t="s">
        <v>2843</v>
      </c>
      <c r="E384" s="4706" t="s">
        <v>2844</v>
      </c>
      <c r="F384" s="4706" t="s">
        <v>2563</v>
      </c>
      <c r="G384" s="4706" t="s">
        <v>22</v>
      </c>
      <c r="H384" s="4706" t="s">
        <v>22</v>
      </c>
      <c r="I384" s="4706" t="s">
        <v>875</v>
      </c>
    </row>
    <row customHeight="1" ht="11.25">
      <c r="A385" s="4706" t="s">
        <v>2429</v>
      </c>
      <c r="B385" s="4706" t="s">
        <v>16</v>
      </c>
      <c r="C385" s="4706" t="s">
        <v>3231</v>
      </c>
      <c r="D385" s="4706" t="s">
        <v>3232</v>
      </c>
      <c r="E385" s="4706" t="s">
        <v>3233</v>
      </c>
      <c r="F385" s="4706" t="s">
        <v>2488</v>
      </c>
      <c r="G385" s="4706" t="s">
        <v>22</v>
      </c>
      <c r="H385" s="4706" t="s">
        <v>22</v>
      </c>
      <c r="I385" s="4706" t="s">
        <v>875</v>
      </c>
    </row>
    <row customHeight="1" ht="11.25">
      <c r="A386" s="4706" t="s">
        <v>2429</v>
      </c>
      <c r="B386" s="4706" t="s">
        <v>16</v>
      </c>
      <c r="C386" s="4706" t="s">
        <v>3234</v>
      </c>
      <c r="D386" s="4706" t="s">
        <v>3235</v>
      </c>
      <c r="E386" s="4706" t="s">
        <v>3236</v>
      </c>
      <c r="F386" s="4706" t="s">
        <v>2528</v>
      </c>
      <c r="G386" s="4706" t="s">
        <v>22</v>
      </c>
      <c r="H386" s="4706" t="s">
        <v>22</v>
      </c>
      <c r="I386" s="4706" t="s">
        <v>875</v>
      </c>
    </row>
    <row customHeight="1" ht="11.25">
      <c r="A387" s="4706" t="s">
        <v>2429</v>
      </c>
      <c r="B387" s="4706" t="s">
        <v>16</v>
      </c>
      <c r="C387" s="4706" t="s">
        <v>2848</v>
      </c>
      <c r="D387" s="4706" t="s">
        <v>2849</v>
      </c>
      <c r="E387" s="4706" t="s">
        <v>2850</v>
      </c>
      <c r="F387" s="4706" t="s">
        <v>2437</v>
      </c>
      <c r="G387" s="4706" t="s">
        <v>2851</v>
      </c>
      <c r="H387" s="4706" t="s">
        <v>22</v>
      </c>
      <c r="I387" s="4706" t="s">
        <v>875</v>
      </c>
    </row>
    <row customHeight="1" ht="11.25">
      <c r="A388" s="4706" t="s">
        <v>2429</v>
      </c>
      <c r="B388" s="4706" t="s">
        <v>16</v>
      </c>
      <c r="C388" s="4706" t="s">
        <v>3237</v>
      </c>
      <c r="D388" s="4706" t="s">
        <v>2849</v>
      </c>
      <c r="E388" s="4706" t="s">
        <v>3238</v>
      </c>
      <c r="F388" s="4706" t="s">
        <v>2563</v>
      </c>
      <c r="G388" s="4706" t="s">
        <v>22</v>
      </c>
      <c r="H388" s="4706" t="s">
        <v>22</v>
      </c>
      <c r="I388" s="4706" t="s">
        <v>875</v>
      </c>
    </row>
    <row customHeight="1" ht="11.25">
      <c r="A389" s="4706" t="s">
        <v>2429</v>
      </c>
      <c r="B389" s="4706" t="s">
        <v>16</v>
      </c>
      <c r="C389" s="4706" t="s">
        <v>3239</v>
      </c>
      <c r="D389" s="4706" t="s">
        <v>3240</v>
      </c>
      <c r="E389" s="4706" t="s">
        <v>3241</v>
      </c>
      <c r="F389" s="4706" t="s">
        <v>2570</v>
      </c>
      <c r="G389" s="4706" t="s">
        <v>22</v>
      </c>
      <c r="H389" s="4706" t="s">
        <v>22</v>
      </c>
      <c r="I389" s="4706" t="s">
        <v>875</v>
      </c>
    </row>
    <row customHeight="1" ht="11.25">
      <c r="A390" s="4706" t="s">
        <v>2429</v>
      </c>
      <c r="B390" s="4706" t="s">
        <v>16</v>
      </c>
      <c r="C390" s="4706" t="s">
        <v>3242</v>
      </c>
      <c r="D390" s="4706" t="s">
        <v>3243</v>
      </c>
      <c r="E390" s="4706" t="s">
        <v>3244</v>
      </c>
      <c r="F390" s="4706" t="s">
        <v>2774</v>
      </c>
      <c r="G390" s="4706" t="s">
        <v>22</v>
      </c>
      <c r="H390" s="4706" t="s">
        <v>22</v>
      </c>
      <c r="I390" s="4706" t="s">
        <v>875</v>
      </c>
    </row>
    <row customHeight="1" ht="11.25">
      <c r="A391" s="4706" t="s">
        <v>2429</v>
      </c>
      <c r="B391" s="4706" t="s">
        <v>16</v>
      </c>
      <c r="C391" s="4706" t="s">
        <v>3245</v>
      </c>
      <c r="D391" s="4706" t="s">
        <v>3243</v>
      </c>
      <c r="E391" s="4706" t="s">
        <v>3246</v>
      </c>
      <c r="F391" s="4706" t="s">
        <v>2576</v>
      </c>
      <c r="G391" s="4706" t="s">
        <v>3247</v>
      </c>
      <c r="H391" s="4706" t="s">
        <v>22</v>
      </c>
      <c r="I391" s="4706" t="s">
        <v>875</v>
      </c>
    </row>
    <row customHeight="1" ht="11.25">
      <c r="A392" s="4706" t="s">
        <v>2429</v>
      </c>
      <c r="B392" s="4706" t="s">
        <v>16</v>
      </c>
      <c r="C392" s="4706" t="s">
        <v>2852</v>
      </c>
      <c r="D392" s="4706" t="s">
        <v>2853</v>
      </c>
      <c r="E392" s="4706" t="s">
        <v>2854</v>
      </c>
      <c r="F392" s="4706" t="s">
        <v>2563</v>
      </c>
      <c r="G392" s="4706" t="s">
        <v>2855</v>
      </c>
      <c r="H392" s="4706" t="s">
        <v>22</v>
      </c>
      <c r="I392" s="4706" t="s">
        <v>875</v>
      </c>
    </row>
    <row customHeight="1" ht="11.25">
      <c r="A393" s="4706" t="s">
        <v>2429</v>
      </c>
      <c r="B393" s="4706" t="s">
        <v>16</v>
      </c>
      <c r="C393" s="4706" t="s">
        <v>2856</v>
      </c>
      <c r="D393" s="4706" t="s">
        <v>2857</v>
      </c>
      <c r="E393" s="4706" t="s">
        <v>2858</v>
      </c>
      <c r="F393" s="4706" t="s">
        <v>2437</v>
      </c>
      <c r="G393" s="4706" t="s">
        <v>22</v>
      </c>
      <c r="H393" s="4706" t="s">
        <v>22</v>
      </c>
      <c r="I393" s="4706" t="s">
        <v>875</v>
      </c>
    </row>
    <row customHeight="1" ht="11.25">
      <c r="A394" s="4706" t="s">
        <v>2429</v>
      </c>
      <c r="B394" s="4706" t="s">
        <v>16</v>
      </c>
      <c r="C394" s="4706" t="s">
        <v>2859</v>
      </c>
      <c r="D394" s="4706" t="s">
        <v>2860</v>
      </c>
      <c r="E394" s="4706" t="s">
        <v>2861</v>
      </c>
      <c r="F394" s="4706" t="s">
        <v>2437</v>
      </c>
      <c r="G394" s="4706" t="s">
        <v>22</v>
      </c>
      <c r="H394" s="4706" t="s">
        <v>22</v>
      </c>
      <c r="I394" s="4706" t="s">
        <v>875</v>
      </c>
    </row>
    <row customHeight="1" ht="11.25">
      <c r="A395" s="4706" t="s">
        <v>2429</v>
      </c>
      <c r="B395" s="4706" t="s">
        <v>16</v>
      </c>
      <c r="C395" s="4706" t="s">
        <v>2866</v>
      </c>
      <c r="D395" s="4706" t="s">
        <v>2867</v>
      </c>
      <c r="E395" s="4706" t="s">
        <v>2868</v>
      </c>
      <c r="F395" s="4706" t="s">
        <v>2563</v>
      </c>
      <c r="G395" s="4706" t="s">
        <v>22</v>
      </c>
      <c r="H395" s="4706" t="s">
        <v>22</v>
      </c>
      <c r="I395" s="4706" t="s">
        <v>875</v>
      </c>
    </row>
    <row customHeight="1" ht="11.25">
      <c r="A396" s="4706" t="s">
        <v>2429</v>
      </c>
      <c r="B396" s="4706" t="s">
        <v>16</v>
      </c>
      <c r="C396" s="4706" t="s">
        <v>2869</v>
      </c>
      <c r="D396" s="4706" t="s">
        <v>2870</v>
      </c>
      <c r="E396" s="4706" t="s">
        <v>2871</v>
      </c>
      <c r="F396" s="4706" t="s">
        <v>2563</v>
      </c>
      <c r="G396" s="4706" t="s">
        <v>22</v>
      </c>
      <c r="H396" s="4706" t="s">
        <v>22</v>
      </c>
      <c r="I396" s="4706" t="s">
        <v>875</v>
      </c>
    </row>
    <row customHeight="1" ht="11.25">
      <c r="A397" s="4706" t="s">
        <v>2429</v>
      </c>
      <c r="B397" s="4706" t="s">
        <v>16</v>
      </c>
      <c r="C397" s="4706" t="s">
        <v>2872</v>
      </c>
      <c r="D397" s="4706" t="s">
        <v>2873</v>
      </c>
      <c r="E397" s="4706" t="s">
        <v>2874</v>
      </c>
      <c r="F397" s="4706" t="s">
        <v>2437</v>
      </c>
      <c r="G397" s="4706" t="s">
        <v>22</v>
      </c>
      <c r="H397" s="4706" t="s">
        <v>22</v>
      </c>
      <c r="I397" s="4706" t="s">
        <v>875</v>
      </c>
    </row>
    <row customHeight="1" ht="11.25">
      <c r="A398" s="4706" t="s">
        <v>2429</v>
      </c>
      <c r="B398" s="4706" t="s">
        <v>16</v>
      </c>
      <c r="C398" s="4706" t="s">
        <v>2875</v>
      </c>
      <c r="D398" s="4706" t="s">
        <v>2873</v>
      </c>
      <c r="E398" s="4706" t="s">
        <v>2874</v>
      </c>
      <c r="F398" s="4706" t="s">
        <v>2548</v>
      </c>
      <c r="G398" s="4706" t="s">
        <v>2876</v>
      </c>
      <c r="H398" s="4706" t="s">
        <v>22</v>
      </c>
      <c r="I398" s="4706" t="s">
        <v>875</v>
      </c>
    </row>
    <row customHeight="1" ht="11.25">
      <c r="A399" s="4706" t="s">
        <v>2429</v>
      </c>
      <c r="B399" s="4706" t="s">
        <v>16</v>
      </c>
      <c r="C399" s="4706" t="s">
        <v>3248</v>
      </c>
      <c r="D399" s="4706" t="s">
        <v>3249</v>
      </c>
      <c r="E399" s="4706" t="s">
        <v>3250</v>
      </c>
      <c r="F399" s="4706" t="s">
        <v>2576</v>
      </c>
      <c r="G399" s="4706" t="s">
        <v>22</v>
      </c>
      <c r="H399" s="4706" t="s">
        <v>22</v>
      </c>
      <c r="I399" s="4706" t="s">
        <v>875</v>
      </c>
    </row>
    <row customHeight="1" ht="11.25">
      <c r="A400" s="4706" t="s">
        <v>2429</v>
      </c>
      <c r="B400" s="4706" t="s">
        <v>16</v>
      </c>
      <c r="C400" s="4706" t="s">
        <v>3251</v>
      </c>
      <c r="D400" s="4706" t="s">
        <v>3252</v>
      </c>
      <c r="E400" s="4706" t="s">
        <v>3253</v>
      </c>
      <c r="F400" s="4706" t="s">
        <v>2465</v>
      </c>
      <c r="G400" s="4706" t="s">
        <v>3254</v>
      </c>
      <c r="H400" s="4706" t="s">
        <v>22</v>
      </c>
      <c r="I400" s="4706" t="s">
        <v>875</v>
      </c>
    </row>
    <row customHeight="1" ht="11.25">
      <c r="A401" s="4706" t="s">
        <v>2429</v>
      </c>
      <c r="B401" s="4706" t="s">
        <v>16</v>
      </c>
      <c r="C401" s="4706" t="s">
        <v>2883</v>
      </c>
      <c r="D401" s="4706" t="s">
        <v>2884</v>
      </c>
      <c r="E401" s="4706" t="s">
        <v>2885</v>
      </c>
      <c r="F401" s="4706" t="s">
        <v>2563</v>
      </c>
      <c r="G401" s="4706" t="s">
        <v>22</v>
      </c>
      <c r="H401" s="4706" t="s">
        <v>22</v>
      </c>
      <c r="I401" s="4706" t="s">
        <v>875</v>
      </c>
    </row>
    <row customHeight="1" ht="11.25">
      <c r="A402" s="4706" t="s">
        <v>2429</v>
      </c>
      <c r="B402" s="4706" t="s">
        <v>16</v>
      </c>
      <c r="C402" s="4706" t="s">
        <v>2886</v>
      </c>
      <c r="D402" s="4706" t="s">
        <v>2887</v>
      </c>
      <c r="E402" s="4706" t="s">
        <v>2888</v>
      </c>
      <c r="F402" s="4706" t="s">
        <v>2465</v>
      </c>
      <c r="G402" s="4706" t="s">
        <v>22</v>
      </c>
      <c r="H402" s="4706" t="s">
        <v>22</v>
      </c>
      <c r="I402" s="4706" t="s">
        <v>875</v>
      </c>
    </row>
    <row customHeight="1" ht="11.25">
      <c r="A403" s="4706" t="s">
        <v>2429</v>
      </c>
      <c r="B403" s="4706" t="s">
        <v>16</v>
      </c>
      <c r="C403" s="4706" t="s">
        <v>2893</v>
      </c>
      <c r="D403" s="4706" t="s">
        <v>2894</v>
      </c>
      <c r="E403" s="4706" t="s">
        <v>2895</v>
      </c>
      <c r="F403" s="4706" t="s">
        <v>2896</v>
      </c>
      <c r="G403" s="4706" t="s">
        <v>22</v>
      </c>
      <c r="H403" s="4706" t="s">
        <v>22</v>
      </c>
      <c r="I403" s="4706" t="s">
        <v>875</v>
      </c>
    </row>
    <row customHeight="1" ht="11.25">
      <c r="A404" s="4706" t="s">
        <v>2429</v>
      </c>
      <c r="B404" s="4706" t="s">
        <v>16</v>
      </c>
      <c r="C404" s="4706" t="s">
        <v>2931</v>
      </c>
      <c r="D404" s="4706" t="s">
        <v>2932</v>
      </c>
      <c r="E404" s="4706" t="s">
        <v>2933</v>
      </c>
      <c r="F404" s="4706" t="s">
        <v>2740</v>
      </c>
      <c r="G404" s="4706" t="s">
        <v>22</v>
      </c>
      <c r="H404" s="4706" t="s">
        <v>22</v>
      </c>
      <c r="I404" s="4706" t="s">
        <v>875</v>
      </c>
    </row>
    <row customHeight="1" ht="11.25">
      <c r="A405" s="4706" t="s">
        <v>2429</v>
      </c>
      <c r="B405" s="4706" t="s">
        <v>16</v>
      </c>
      <c r="C405" s="4706" t="s">
        <v>2934</v>
      </c>
      <c r="D405" s="4706" t="s">
        <v>2935</v>
      </c>
      <c r="E405" s="4706" t="s">
        <v>2936</v>
      </c>
      <c r="F405" s="4706" t="s">
        <v>2523</v>
      </c>
      <c r="G405" s="4706" t="s">
        <v>2937</v>
      </c>
      <c r="H405" s="4706" t="s">
        <v>22</v>
      </c>
      <c r="I405" s="4706" t="s">
        <v>875</v>
      </c>
    </row>
    <row customHeight="1" ht="11.25">
      <c r="A406" s="4706" t="s">
        <v>2429</v>
      </c>
      <c r="B406" s="4706" t="s">
        <v>16</v>
      </c>
      <c r="C406" s="4706" t="s">
        <v>2967</v>
      </c>
      <c r="D406" s="4706" t="s">
        <v>2968</v>
      </c>
      <c r="E406" s="4706" t="s">
        <v>2969</v>
      </c>
      <c r="F406" s="4706" t="s">
        <v>2523</v>
      </c>
      <c r="G406" s="4706" t="s">
        <v>22</v>
      </c>
      <c r="H406" s="4706" t="s">
        <v>22</v>
      </c>
      <c r="I406" s="4706" t="s">
        <v>875</v>
      </c>
    </row>
    <row customHeight="1" ht="11.25">
      <c r="A407" s="4706" t="s">
        <v>2429</v>
      </c>
      <c r="B407" s="4706" t="s">
        <v>16</v>
      </c>
      <c r="C407" s="4706" t="s">
        <v>2970</v>
      </c>
      <c r="D407" s="4706" t="s">
        <v>2971</v>
      </c>
      <c r="E407" s="4706" t="s">
        <v>2972</v>
      </c>
      <c r="F407" s="4706" t="s">
        <v>2563</v>
      </c>
      <c r="G407" s="4706" t="s">
        <v>22</v>
      </c>
      <c r="H407" s="4706" t="s">
        <v>22</v>
      </c>
      <c r="I407" s="4706" t="s">
        <v>875</v>
      </c>
    </row>
    <row customHeight="1" ht="11.25">
      <c r="A408" s="4706" t="s">
        <v>2429</v>
      </c>
      <c r="B408" s="4706" t="s">
        <v>16</v>
      </c>
      <c r="C408" s="4706" t="s">
        <v>3255</v>
      </c>
      <c r="D408" s="4706" t="s">
        <v>3256</v>
      </c>
      <c r="E408" s="4706" t="s">
        <v>3257</v>
      </c>
      <c r="F408" s="4706" t="s">
        <v>2523</v>
      </c>
      <c r="G408" s="4706" t="s">
        <v>22</v>
      </c>
      <c r="H408" s="4706" t="s">
        <v>22</v>
      </c>
      <c r="I408" s="4706" t="s">
        <v>875</v>
      </c>
    </row>
    <row customHeight="1" ht="11.25">
      <c r="A409" s="4706" t="s">
        <v>2429</v>
      </c>
      <c r="B409" s="4706" t="s">
        <v>16</v>
      </c>
      <c r="C409" s="4706" t="s">
        <v>3258</v>
      </c>
      <c r="D409" s="4706" t="s">
        <v>3259</v>
      </c>
      <c r="E409" s="4706" t="s">
        <v>3260</v>
      </c>
      <c r="F409" s="4706" t="s">
        <v>3261</v>
      </c>
      <c r="G409" s="4706" t="s">
        <v>22</v>
      </c>
      <c r="H409" s="4706" t="s">
        <v>22</v>
      </c>
      <c r="I409" s="4706" t="s">
        <v>875</v>
      </c>
    </row>
    <row customHeight="1" ht="11.25">
      <c r="A410" s="4706" t="s">
        <v>2429</v>
      </c>
      <c r="B410" s="4706" t="s">
        <v>16</v>
      </c>
      <c r="C410" s="4706" t="s">
        <v>3262</v>
      </c>
      <c r="D410" s="4706" t="s">
        <v>3263</v>
      </c>
      <c r="E410" s="4706" t="s">
        <v>3264</v>
      </c>
      <c r="F410" s="4706" t="s">
        <v>2774</v>
      </c>
      <c r="G410" s="4706" t="s">
        <v>22</v>
      </c>
      <c r="H410" s="4706" t="s">
        <v>22</v>
      </c>
      <c r="I410" s="4706" t="s">
        <v>875</v>
      </c>
    </row>
    <row customHeight="1" ht="11.25">
      <c r="A411" s="4706" t="s">
        <v>2429</v>
      </c>
      <c r="B411" s="4706" t="s">
        <v>16</v>
      </c>
      <c r="C411" s="4706" t="s">
        <v>3265</v>
      </c>
      <c r="D411" s="4706" t="s">
        <v>3266</v>
      </c>
      <c r="E411" s="4706" t="s">
        <v>3267</v>
      </c>
      <c r="F411" s="4706" t="s">
        <v>2523</v>
      </c>
      <c r="G411" s="4706" t="s">
        <v>22</v>
      </c>
      <c r="H411" s="4706" t="s">
        <v>22</v>
      </c>
      <c r="I411" s="4706" t="s">
        <v>875</v>
      </c>
    </row>
    <row customHeight="1" ht="11.25">
      <c r="A412" s="4706" t="s">
        <v>2429</v>
      </c>
      <c r="B412" s="4706" t="s">
        <v>16</v>
      </c>
      <c r="C412" s="4706" t="s">
        <v>2983</v>
      </c>
      <c r="D412" s="4706" t="s">
        <v>2984</v>
      </c>
      <c r="E412" s="4706" t="s">
        <v>2985</v>
      </c>
      <c r="F412" s="4706" t="s">
        <v>2523</v>
      </c>
      <c r="G412" s="4706" t="s">
        <v>22</v>
      </c>
      <c r="H412" s="4706" t="s">
        <v>22</v>
      </c>
      <c r="I412" s="4706" t="s">
        <v>875</v>
      </c>
    </row>
    <row customHeight="1" ht="11.25">
      <c r="A413" s="4706" t="s">
        <v>2429</v>
      </c>
      <c r="B413" s="4706" t="s">
        <v>16</v>
      </c>
      <c r="C413" s="4706" t="s">
        <v>3268</v>
      </c>
      <c r="D413" s="4706" t="s">
        <v>3269</v>
      </c>
      <c r="E413" s="4706" t="s">
        <v>3270</v>
      </c>
      <c r="F413" s="4706" t="s">
        <v>2528</v>
      </c>
      <c r="G413" s="4706" t="s">
        <v>22</v>
      </c>
      <c r="H413" s="4706" t="s">
        <v>22</v>
      </c>
      <c r="I413" s="4706" t="s">
        <v>875</v>
      </c>
    </row>
    <row customHeight="1" ht="11.25">
      <c r="A414" s="4706" t="s">
        <v>2429</v>
      </c>
      <c r="B414" s="4706" t="s">
        <v>16</v>
      </c>
      <c r="C414" s="4706" t="s">
        <v>3002</v>
      </c>
      <c r="D414" s="4706" t="s">
        <v>3003</v>
      </c>
      <c r="E414" s="4706" t="s">
        <v>3004</v>
      </c>
      <c r="F414" s="4706" t="s">
        <v>2740</v>
      </c>
      <c r="G414" s="4706" t="s">
        <v>22</v>
      </c>
      <c r="H414" s="4706" t="s">
        <v>22</v>
      </c>
      <c r="I414" s="4706" t="s">
        <v>875</v>
      </c>
    </row>
    <row customHeight="1" ht="11.25">
      <c r="A415" s="4706" t="s">
        <v>2429</v>
      </c>
      <c r="B415" s="4706" t="s">
        <v>16</v>
      </c>
      <c r="C415" s="4706" t="s">
        <v>3005</v>
      </c>
      <c r="D415" s="4706" t="s">
        <v>3006</v>
      </c>
      <c r="E415" s="4706" t="s">
        <v>3007</v>
      </c>
      <c r="F415" s="4706" t="s">
        <v>2437</v>
      </c>
      <c r="G415" s="4706" t="s">
        <v>22</v>
      </c>
      <c r="H415" s="4706" t="s">
        <v>22</v>
      </c>
      <c r="I415" s="4706" t="s">
        <v>875</v>
      </c>
    </row>
    <row customHeight="1" ht="11.25">
      <c r="A416" s="4706" t="s">
        <v>2429</v>
      </c>
      <c r="B416" s="4706" t="s">
        <v>16</v>
      </c>
      <c r="C416" s="4706" t="s">
        <v>3008</v>
      </c>
      <c r="D416" s="4706" t="s">
        <v>3009</v>
      </c>
      <c r="E416" s="4706" t="s">
        <v>3010</v>
      </c>
      <c r="F416" s="4706" t="s">
        <v>2774</v>
      </c>
      <c r="G416" s="4706" t="s">
        <v>22</v>
      </c>
      <c r="H416" s="4706" t="s">
        <v>22</v>
      </c>
      <c r="I416" s="4706" t="s">
        <v>875</v>
      </c>
    </row>
    <row customHeight="1" ht="11.25">
      <c r="A417" s="4706" t="s">
        <v>2429</v>
      </c>
      <c r="B417" s="4706" t="s">
        <v>16</v>
      </c>
      <c r="C417" s="4706" t="s">
        <v>3021</v>
      </c>
      <c r="D417" s="4706" t="s">
        <v>3022</v>
      </c>
      <c r="E417" s="4706" t="s">
        <v>3023</v>
      </c>
      <c r="F417" s="4706" t="s">
        <v>2483</v>
      </c>
      <c r="G417" s="4706" t="s">
        <v>22</v>
      </c>
      <c r="H417" s="4706" t="s">
        <v>22</v>
      </c>
      <c r="I417" s="4706" t="s">
        <v>875</v>
      </c>
    </row>
    <row customHeight="1" ht="11.25">
      <c r="A418" s="4706" t="s">
        <v>2429</v>
      </c>
      <c r="B418" s="4706" t="s">
        <v>16</v>
      </c>
      <c r="C418" s="4706" t="s">
        <v>3271</v>
      </c>
      <c r="D418" s="4706" t="s">
        <v>3272</v>
      </c>
      <c r="E418" s="4706" t="s">
        <v>3273</v>
      </c>
      <c r="F418" s="4706" t="s">
        <v>2548</v>
      </c>
      <c r="G418" s="4706" t="s">
        <v>22</v>
      </c>
      <c r="H418" s="4706" t="s">
        <v>22</v>
      </c>
      <c r="I418" s="4706" t="s">
        <v>875</v>
      </c>
    </row>
    <row customHeight="1" ht="11.25">
      <c r="A419" s="4706" t="s">
        <v>2429</v>
      </c>
      <c r="B419" s="4706" t="s">
        <v>16</v>
      </c>
      <c r="C419" s="4706" t="s">
        <v>3274</v>
      </c>
      <c r="D419" s="4706" t="s">
        <v>3275</v>
      </c>
      <c r="E419" s="4706" t="s">
        <v>3276</v>
      </c>
      <c r="F419" s="4706" t="s">
        <v>2712</v>
      </c>
      <c r="G419" s="4706" t="s">
        <v>22</v>
      </c>
      <c r="H419" s="4706" t="s">
        <v>22</v>
      </c>
      <c r="I419" s="4706" t="s">
        <v>875</v>
      </c>
    </row>
    <row customHeight="1" ht="11.25">
      <c r="A420" s="4706" t="s">
        <v>2429</v>
      </c>
      <c r="B420" s="4706" t="s">
        <v>16</v>
      </c>
      <c r="C420" s="4706" t="s">
        <v>3277</v>
      </c>
      <c r="D420" s="4706" t="s">
        <v>3278</v>
      </c>
      <c r="E420" s="4706" t="s">
        <v>3279</v>
      </c>
      <c r="F420" s="4706" t="s">
        <v>2624</v>
      </c>
      <c r="G420" s="4706" t="s">
        <v>22</v>
      </c>
      <c r="H420" s="4706" t="s">
        <v>22</v>
      </c>
      <c r="I420" s="4706" t="s">
        <v>875</v>
      </c>
    </row>
    <row customHeight="1" ht="11.25">
      <c r="A421" s="4706" t="s">
        <v>2429</v>
      </c>
      <c r="B421" s="4706" t="s">
        <v>16</v>
      </c>
      <c r="C421" s="4706" t="s">
        <v>3280</v>
      </c>
      <c r="D421" s="4706" t="s">
        <v>3281</v>
      </c>
      <c r="E421" s="4706" t="s">
        <v>3282</v>
      </c>
      <c r="F421" s="4706" t="s">
        <v>2465</v>
      </c>
      <c r="G421" s="4706" t="s">
        <v>22</v>
      </c>
      <c r="H421" s="4706" t="s">
        <v>22</v>
      </c>
      <c r="I421" s="4706" t="s">
        <v>875</v>
      </c>
    </row>
    <row customHeight="1" ht="11.25">
      <c r="A422" s="4706" t="s">
        <v>2429</v>
      </c>
      <c r="B422" s="4706" t="s">
        <v>16</v>
      </c>
      <c r="C422" s="4706" t="s">
        <v>3048</v>
      </c>
      <c r="D422" s="4706" t="s">
        <v>3049</v>
      </c>
      <c r="E422" s="4706" t="s">
        <v>3050</v>
      </c>
      <c r="F422" s="4706" t="s">
        <v>2523</v>
      </c>
      <c r="G422" s="4706" t="s">
        <v>22</v>
      </c>
      <c r="H422" s="4706" t="s">
        <v>22</v>
      </c>
      <c r="I422" s="4706" t="s">
        <v>875</v>
      </c>
    </row>
    <row customHeight="1" ht="11.25">
      <c r="A423" s="4706" t="s">
        <v>2429</v>
      </c>
      <c r="B423" s="4706" t="s">
        <v>16</v>
      </c>
      <c r="C423" s="4706" t="s">
        <v>22</v>
      </c>
      <c r="D423" s="4706" t="s">
        <v>3051</v>
      </c>
      <c r="E423" s="4706" t="s">
        <v>3052</v>
      </c>
      <c r="F423" s="4706" t="s">
        <v>2437</v>
      </c>
      <c r="G423" s="4706" t="s">
        <v>22</v>
      </c>
      <c r="H423" s="4706" t="s">
        <v>22</v>
      </c>
      <c r="I423" s="4706" t="s">
        <v>875</v>
      </c>
    </row>
    <row customHeight="1" ht="11.25">
      <c r="A424" s="4706" t="s">
        <v>2429</v>
      </c>
      <c r="B424" s="4706" t="s">
        <v>16</v>
      </c>
      <c r="C424" s="4706" t="s">
        <v>3053</v>
      </c>
      <c r="D424" s="4706" t="s">
        <v>3054</v>
      </c>
      <c r="E424" s="4706" t="s">
        <v>3055</v>
      </c>
      <c r="F424" s="4706" t="s">
        <v>3056</v>
      </c>
      <c r="G424" s="4706" t="s">
        <v>22</v>
      </c>
      <c r="H424" s="4706" t="s">
        <v>22</v>
      </c>
      <c r="I424" s="4706" t="s">
        <v>875</v>
      </c>
    </row>
    <row customHeight="1" ht="11.25">
      <c r="A425" s="4706" t="s">
        <v>2429</v>
      </c>
      <c r="B425" s="4706" t="s">
        <v>16</v>
      </c>
      <c r="C425" s="4706" t="s">
        <v>3057</v>
      </c>
      <c r="D425" s="4706" t="s">
        <v>3058</v>
      </c>
      <c r="E425" s="4706" t="s">
        <v>3055</v>
      </c>
      <c r="F425" s="4706" t="s">
        <v>3059</v>
      </c>
      <c r="G425" s="4706" t="s">
        <v>3060</v>
      </c>
      <c r="H425" s="4706" t="s">
        <v>22</v>
      </c>
      <c r="I425" s="4706" t="s">
        <v>875</v>
      </c>
    </row>
    <row customHeight="1" ht="11.25">
      <c r="A426" s="4706" t="s">
        <v>2429</v>
      </c>
      <c r="B426" s="4706" t="s">
        <v>16</v>
      </c>
      <c r="C426" s="4706" t="s">
        <v>3061</v>
      </c>
      <c r="D426" s="4706" t="s">
        <v>3062</v>
      </c>
      <c r="E426" s="4706" t="s">
        <v>3063</v>
      </c>
      <c r="F426" s="4706" t="s">
        <v>2441</v>
      </c>
      <c r="G426" s="4706" t="s">
        <v>22</v>
      </c>
      <c r="H426" s="4706" t="s">
        <v>22</v>
      </c>
      <c r="I426" s="4706" t="s">
        <v>875</v>
      </c>
    </row>
    <row customHeight="1" ht="11.25">
      <c r="A427" s="4706" t="s">
        <v>2429</v>
      </c>
      <c r="B427" s="4706" t="s">
        <v>16</v>
      </c>
      <c r="C427" s="4706" t="s">
        <v>3066</v>
      </c>
      <c r="D427" s="4706" t="s">
        <v>3067</v>
      </c>
      <c r="E427" s="4706" t="s">
        <v>3068</v>
      </c>
      <c r="F427" s="4706" t="s">
        <v>3069</v>
      </c>
      <c r="G427" s="4706" t="s">
        <v>22</v>
      </c>
      <c r="H427" s="4706" t="s">
        <v>22</v>
      </c>
      <c r="I427" s="4706" t="s">
        <v>875</v>
      </c>
    </row>
    <row customHeight="1" ht="11.25">
      <c r="A428" s="4706" t="s">
        <v>2429</v>
      </c>
      <c r="B428" s="4706" t="s">
        <v>16</v>
      </c>
      <c r="C428" s="4706" t="s">
        <v>3077</v>
      </c>
      <c r="D428" s="4706" t="s">
        <v>3078</v>
      </c>
      <c r="E428" s="4706" t="s">
        <v>3079</v>
      </c>
      <c r="F428" s="4706" t="s">
        <v>2453</v>
      </c>
      <c r="G428" s="4706" t="s">
        <v>22</v>
      </c>
      <c r="H428" s="4706" t="s">
        <v>22</v>
      </c>
      <c r="I428" s="4706" t="s">
        <v>875</v>
      </c>
    </row>
    <row customHeight="1" ht="11.25">
      <c r="A429" s="4706" t="s">
        <v>2429</v>
      </c>
      <c r="B429" s="4706" t="s">
        <v>16</v>
      </c>
      <c r="C429" s="4706" t="s">
        <v>2430</v>
      </c>
      <c r="D429" s="4706" t="s">
        <v>2431</v>
      </c>
      <c r="E429" s="4706" t="s">
        <v>2432</v>
      </c>
      <c r="F429" s="4706" t="s">
        <v>2433</v>
      </c>
      <c r="G429" s="4706" t="s">
        <v>22</v>
      </c>
      <c r="H429" s="4706" t="s">
        <v>22</v>
      </c>
      <c r="I429" s="4706" t="s">
        <v>928</v>
      </c>
    </row>
    <row customHeight="1" ht="11.25">
      <c r="A430" s="4706" t="s">
        <v>2429</v>
      </c>
      <c r="B430" s="4706" t="s">
        <v>16</v>
      </c>
      <c r="C430" s="4706" t="s">
        <v>2434</v>
      </c>
      <c r="D430" s="4706" t="s">
        <v>2435</v>
      </c>
      <c r="E430" s="4706" t="s">
        <v>2436</v>
      </c>
      <c r="F430" s="4706" t="s">
        <v>2437</v>
      </c>
      <c r="G430" s="4706" t="s">
        <v>22</v>
      </c>
      <c r="H430" s="4706" t="s">
        <v>22</v>
      </c>
      <c r="I430" s="4706" t="s">
        <v>928</v>
      </c>
    </row>
    <row customHeight="1" ht="11.25">
      <c r="A431" s="4706" t="s">
        <v>2429</v>
      </c>
      <c r="B431" s="4706" t="s">
        <v>16</v>
      </c>
      <c r="C431" s="4706" t="s">
        <v>2451</v>
      </c>
      <c r="D431" s="4706" t="s">
        <v>2452</v>
      </c>
      <c r="E431" s="4706" t="s">
        <v>49</v>
      </c>
      <c r="F431" s="4706" t="s">
        <v>2453</v>
      </c>
      <c r="G431" s="4706" t="s">
        <v>22</v>
      </c>
      <c r="H431" s="4706" t="s">
        <v>22</v>
      </c>
      <c r="I431" s="4706" t="s">
        <v>928</v>
      </c>
    </row>
    <row customHeight="1" ht="11.25">
      <c r="A432" s="4706" t="s">
        <v>2429</v>
      </c>
      <c r="B432" s="4706" t="s">
        <v>16</v>
      </c>
      <c r="C432" s="4706" t="s">
        <v>2454</v>
      </c>
      <c r="D432" s="4706" t="s">
        <v>2455</v>
      </c>
      <c r="E432" s="4706" t="s">
        <v>2456</v>
      </c>
      <c r="F432" s="4706" t="s">
        <v>2457</v>
      </c>
      <c r="G432" s="4706" t="s">
        <v>22</v>
      </c>
      <c r="H432" s="4706" t="s">
        <v>22</v>
      </c>
      <c r="I432" s="4706" t="s">
        <v>928</v>
      </c>
    </row>
    <row customHeight="1" ht="11.25">
      <c r="A433" s="4706" t="s">
        <v>2429</v>
      </c>
      <c r="B433" s="4706" t="s">
        <v>16</v>
      </c>
      <c r="C433" s="4706" t="s">
        <v>2458</v>
      </c>
      <c r="D433" s="4706" t="s">
        <v>2459</v>
      </c>
      <c r="E433" s="4706" t="s">
        <v>2460</v>
      </c>
      <c r="F433" s="4706" t="s">
        <v>2461</v>
      </c>
      <c r="G433" s="4706" t="s">
        <v>22</v>
      </c>
      <c r="H433" s="4706" t="s">
        <v>22</v>
      </c>
      <c r="I433" s="4706" t="s">
        <v>928</v>
      </c>
    </row>
    <row customHeight="1" ht="11.25">
      <c r="A434" s="4706" t="s">
        <v>2429</v>
      </c>
      <c r="B434" s="4706" t="s">
        <v>16</v>
      </c>
      <c r="C434" s="4706" t="s">
        <v>2489</v>
      </c>
      <c r="D434" s="4706" t="s">
        <v>2490</v>
      </c>
      <c r="E434" s="4706" t="s">
        <v>2491</v>
      </c>
      <c r="F434" s="4706" t="s">
        <v>2437</v>
      </c>
      <c r="G434" s="4706" t="s">
        <v>22</v>
      </c>
      <c r="H434" s="4706" t="s">
        <v>22</v>
      </c>
      <c r="I434" s="4706" t="s">
        <v>928</v>
      </c>
    </row>
    <row customHeight="1" ht="11.25">
      <c r="A435" s="4706" t="s">
        <v>2429</v>
      </c>
      <c r="B435" s="4706" t="s">
        <v>16</v>
      </c>
      <c r="C435" s="4706" t="s">
        <v>3283</v>
      </c>
      <c r="D435" s="4706" t="s">
        <v>3284</v>
      </c>
      <c r="E435" s="4706" t="s">
        <v>3285</v>
      </c>
      <c r="F435" s="4706" t="s">
        <v>2437</v>
      </c>
      <c r="G435" s="4706" t="s">
        <v>22</v>
      </c>
      <c r="H435" s="4706" t="s">
        <v>22</v>
      </c>
      <c r="I435" s="4706" t="s">
        <v>928</v>
      </c>
    </row>
    <row customHeight="1" ht="11.25">
      <c r="A436" s="4706" t="s">
        <v>2429</v>
      </c>
      <c r="B436" s="4706" t="s">
        <v>16</v>
      </c>
      <c r="C436" s="4706" t="s">
        <v>2495</v>
      </c>
      <c r="D436" s="4706" t="s">
        <v>2496</v>
      </c>
      <c r="E436" s="4706" t="s">
        <v>2497</v>
      </c>
      <c r="F436" s="4706" t="s">
        <v>2461</v>
      </c>
      <c r="G436" s="4706" t="s">
        <v>22</v>
      </c>
      <c r="H436" s="4706" t="s">
        <v>22</v>
      </c>
      <c r="I436" s="4706" t="s">
        <v>928</v>
      </c>
    </row>
    <row customHeight="1" ht="11.25">
      <c r="A437" s="4706" t="s">
        <v>2429</v>
      </c>
      <c r="B437" s="4706" t="s">
        <v>16</v>
      </c>
      <c r="C437" s="4706" t="s">
        <v>2501</v>
      </c>
      <c r="D437" s="4706" t="s">
        <v>2502</v>
      </c>
      <c r="E437" s="4706" t="s">
        <v>2497</v>
      </c>
      <c r="F437" s="4706" t="s">
        <v>2503</v>
      </c>
      <c r="G437" s="4706" t="s">
        <v>22</v>
      </c>
      <c r="H437" s="4706" t="s">
        <v>22</v>
      </c>
      <c r="I437" s="4706" t="s">
        <v>928</v>
      </c>
    </row>
    <row customHeight="1" ht="11.25">
      <c r="A438" s="4706" t="s">
        <v>2429</v>
      </c>
      <c r="B438" s="4706" t="s">
        <v>16</v>
      </c>
      <c r="C438" s="4706" t="s">
        <v>3093</v>
      </c>
      <c r="D438" s="4706" t="s">
        <v>3094</v>
      </c>
      <c r="E438" s="4706" t="s">
        <v>3095</v>
      </c>
      <c r="F438" s="4706" t="s">
        <v>593</v>
      </c>
      <c r="G438" s="4706" t="s">
        <v>22</v>
      </c>
      <c r="H438" s="4706" t="s">
        <v>22</v>
      </c>
      <c r="I438" s="4706" t="s">
        <v>928</v>
      </c>
    </row>
    <row customHeight="1" ht="11.25">
      <c r="A439" s="4706" t="s">
        <v>2429</v>
      </c>
      <c r="B439" s="4706" t="s">
        <v>16</v>
      </c>
      <c r="C439" s="4706" t="s">
        <v>3096</v>
      </c>
      <c r="D439" s="4706" t="s">
        <v>3097</v>
      </c>
      <c r="E439" s="4706" t="s">
        <v>3098</v>
      </c>
      <c r="F439" s="4706" t="s">
        <v>2441</v>
      </c>
      <c r="G439" s="4706" t="s">
        <v>22</v>
      </c>
      <c r="H439" s="4706" t="s">
        <v>22</v>
      </c>
      <c r="I439" s="4706" t="s">
        <v>928</v>
      </c>
    </row>
    <row customHeight="1" ht="11.25">
      <c r="A440" s="4706" t="s">
        <v>2429</v>
      </c>
      <c r="B440" s="4706" t="s">
        <v>16</v>
      </c>
      <c r="C440" s="4706" t="s">
        <v>3102</v>
      </c>
      <c r="D440" s="4706" t="s">
        <v>3103</v>
      </c>
      <c r="E440" s="4706" t="s">
        <v>3104</v>
      </c>
      <c r="F440" s="4706" t="s">
        <v>2563</v>
      </c>
      <c r="G440" s="4706" t="s">
        <v>22</v>
      </c>
      <c r="H440" s="4706" t="s">
        <v>22</v>
      </c>
      <c r="I440" s="4706" t="s">
        <v>928</v>
      </c>
    </row>
    <row customHeight="1" ht="11.25">
      <c r="A441" s="4706" t="s">
        <v>2429</v>
      </c>
      <c r="B441" s="4706" t="s">
        <v>16</v>
      </c>
      <c r="C441" s="4706" t="s">
        <v>3108</v>
      </c>
      <c r="D441" s="4706" t="s">
        <v>3109</v>
      </c>
      <c r="E441" s="4706" t="s">
        <v>3110</v>
      </c>
      <c r="F441" s="4706" t="s">
        <v>2523</v>
      </c>
      <c r="G441" s="4706" t="s">
        <v>3111</v>
      </c>
      <c r="H441" s="4706" t="s">
        <v>22</v>
      </c>
      <c r="I441" s="4706" t="s">
        <v>928</v>
      </c>
    </row>
    <row customHeight="1" ht="11.25">
      <c r="A442" s="4706" t="s">
        <v>2429</v>
      </c>
      <c r="B442" s="4706" t="s">
        <v>16</v>
      </c>
      <c r="C442" s="4706" t="s">
        <v>2520</v>
      </c>
      <c r="D442" s="4706" t="s">
        <v>2521</v>
      </c>
      <c r="E442" s="4706" t="s">
        <v>2522</v>
      </c>
      <c r="F442" s="4706" t="s">
        <v>2523</v>
      </c>
      <c r="G442" s="4706" t="s">
        <v>2524</v>
      </c>
      <c r="H442" s="4706" t="s">
        <v>22</v>
      </c>
      <c r="I442" s="4706" t="s">
        <v>928</v>
      </c>
    </row>
    <row customHeight="1" ht="11.25">
      <c r="A443" s="4706" t="s">
        <v>2429</v>
      </c>
      <c r="B443" s="4706" t="s">
        <v>16</v>
      </c>
      <c r="C443" s="4706" t="s">
        <v>3112</v>
      </c>
      <c r="D443" s="4706" t="s">
        <v>3113</v>
      </c>
      <c r="E443" s="4706" t="s">
        <v>3114</v>
      </c>
      <c r="F443" s="4706" t="s">
        <v>2576</v>
      </c>
      <c r="G443" s="4706" t="s">
        <v>3115</v>
      </c>
      <c r="H443" s="4706" t="s">
        <v>22</v>
      </c>
      <c r="I443" s="4706" t="s">
        <v>928</v>
      </c>
    </row>
    <row customHeight="1" ht="11.25">
      <c r="A444" s="4706" t="s">
        <v>2429</v>
      </c>
      <c r="B444" s="4706" t="s">
        <v>16</v>
      </c>
      <c r="C444" s="4706" t="s">
        <v>2525</v>
      </c>
      <c r="D444" s="4706" t="s">
        <v>2526</v>
      </c>
      <c r="E444" s="4706" t="s">
        <v>2527</v>
      </c>
      <c r="F444" s="4706" t="s">
        <v>2528</v>
      </c>
      <c r="G444" s="4706" t="s">
        <v>22</v>
      </c>
      <c r="H444" s="4706" t="s">
        <v>22</v>
      </c>
      <c r="I444" s="4706" t="s">
        <v>928</v>
      </c>
    </row>
    <row customHeight="1" ht="11.25">
      <c r="A445" s="4706" t="s">
        <v>2429</v>
      </c>
      <c r="B445" s="4706" t="s">
        <v>16</v>
      </c>
      <c r="C445" s="4706" t="s">
        <v>2529</v>
      </c>
      <c r="D445" s="4706" t="s">
        <v>2530</v>
      </c>
      <c r="E445" s="4706" t="s">
        <v>2531</v>
      </c>
      <c r="F445" s="4706" t="s">
        <v>2532</v>
      </c>
      <c r="G445" s="4706" t="s">
        <v>22</v>
      </c>
      <c r="H445" s="4706" t="s">
        <v>22</v>
      </c>
      <c r="I445" s="4706" t="s">
        <v>928</v>
      </c>
    </row>
    <row customHeight="1" ht="11.25">
      <c r="A446" s="4706" t="s">
        <v>2429</v>
      </c>
      <c r="B446" s="4706" t="s">
        <v>16</v>
      </c>
      <c r="C446" s="4706" t="s">
        <v>2533</v>
      </c>
      <c r="D446" s="4706" t="s">
        <v>2534</v>
      </c>
      <c r="E446" s="4706" t="s">
        <v>2535</v>
      </c>
      <c r="F446" s="4706" t="s">
        <v>2488</v>
      </c>
      <c r="G446" s="4706" t="s">
        <v>22</v>
      </c>
      <c r="H446" s="4706" t="s">
        <v>22</v>
      </c>
      <c r="I446" s="4706" t="s">
        <v>928</v>
      </c>
    </row>
    <row customHeight="1" ht="11.25">
      <c r="A447" s="4706" t="s">
        <v>2429</v>
      </c>
      <c r="B447" s="4706" t="s">
        <v>16</v>
      </c>
      <c r="C447" s="4706" t="s">
        <v>3134</v>
      </c>
      <c r="D447" s="4706" t="s">
        <v>3135</v>
      </c>
      <c r="E447" s="4706" t="s">
        <v>3136</v>
      </c>
      <c r="F447" s="4706" t="s">
        <v>2528</v>
      </c>
      <c r="G447" s="4706" t="s">
        <v>22</v>
      </c>
      <c r="H447" s="4706" t="s">
        <v>22</v>
      </c>
      <c r="I447" s="4706" t="s">
        <v>928</v>
      </c>
    </row>
    <row customHeight="1" ht="11.25">
      <c r="A448" s="4706" t="s">
        <v>2429</v>
      </c>
      <c r="B448" s="4706" t="s">
        <v>16</v>
      </c>
      <c r="C448" s="4706" t="s">
        <v>3140</v>
      </c>
      <c r="D448" s="4706" t="s">
        <v>3141</v>
      </c>
      <c r="E448" s="4706" t="s">
        <v>3142</v>
      </c>
      <c r="F448" s="4706" t="s">
        <v>2488</v>
      </c>
      <c r="G448" s="4706" t="s">
        <v>22</v>
      </c>
      <c r="H448" s="4706" t="s">
        <v>22</v>
      </c>
      <c r="I448" s="4706" t="s">
        <v>928</v>
      </c>
    </row>
    <row customHeight="1" ht="11.25">
      <c r="A449" s="4706" t="s">
        <v>2429</v>
      </c>
      <c r="B449" s="4706" t="s">
        <v>16</v>
      </c>
      <c r="C449" s="4706" t="s">
        <v>3143</v>
      </c>
      <c r="D449" s="4706" t="s">
        <v>3144</v>
      </c>
      <c r="E449" s="4706" t="s">
        <v>3145</v>
      </c>
      <c r="F449" s="4706" t="s">
        <v>2576</v>
      </c>
      <c r="G449" s="4706" t="s">
        <v>22</v>
      </c>
      <c r="H449" s="4706" t="s">
        <v>22</v>
      </c>
      <c r="I449" s="4706" t="s">
        <v>928</v>
      </c>
    </row>
    <row customHeight="1" ht="11.25">
      <c r="A450" s="4706" t="s">
        <v>2429</v>
      </c>
      <c r="B450" s="4706" t="s">
        <v>16</v>
      </c>
      <c r="C450" s="4706" t="s">
        <v>2549</v>
      </c>
      <c r="D450" s="4706" t="s">
        <v>2550</v>
      </c>
      <c r="E450" s="4706" t="s">
        <v>2551</v>
      </c>
      <c r="F450" s="4706" t="s">
        <v>2548</v>
      </c>
      <c r="G450" s="4706" t="s">
        <v>22</v>
      </c>
      <c r="H450" s="4706" t="s">
        <v>22</v>
      </c>
      <c r="I450" s="4706" t="s">
        <v>928</v>
      </c>
    </row>
    <row customHeight="1" ht="11.25">
      <c r="A451" s="4706" t="s">
        <v>2429</v>
      </c>
      <c r="B451" s="4706" t="s">
        <v>16</v>
      </c>
      <c r="C451" s="4706" t="s">
        <v>3146</v>
      </c>
      <c r="D451" s="4706" t="s">
        <v>3147</v>
      </c>
      <c r="E451" s="4706" t="s">
        <v>3148</v>
      </c>
      <c r="F451" s="4706" t="s">
        <v>2740</v>
      </c>
      <c r="G451" s="4706" t="s">
        <v>22</v>
      </c>
      <c r="H451" s="4706" t="s">
        <v>22</v>
      </c>
      <c r="I451" s="4706" t="s">
        <v>928</v>
      </c>
    </row>
    <row customHeight="1" ht="11.25">
      <c r="A452" s="4706" t="s">
        <v>2429</v>
      </c>
      <c r="B452" s="4706" t="s">
        <v>16</v>
      </c>
      <c r="C452" s="4706" t="s">
        <v>2556</v>
      </c>
      <c r="D452" s="4706" t="s">
        <v>2557</v>
      </c>
      <c r="E452" s="4706" t="s">
        <v>2558</v>
      </c>
      <c r="F452" s="4706" t="s">
        <v>2488</v>
      </c>
      <c r="G452" s="4706" t="s">
        <v>2559</v>
      </c>
      <c r="H452" s="4706" t="s">
        <v>22</v>
      </c>
      <c r="I452" s="4706" t="s">
        <v>928</v>
      </c>
    </row>
    <row customHeight="1" ht="11.25">
      <c r="A453" s="4706" t="s">
        <v>2429</v>
      </c>
      <c r="B453" s="4706" t="s">
        <v>16</v>
      </c>
      <c r="C453" s="4706" t="s">
        <v>3149</v>
      </c>
      <c r="D453" s="4706" t="s">
        <v>3150</v>
      </c>
      <c r="E453" s="4706" t="s">
        <v>3151</v>
      </c>
      <c r="F453" s="4706" t="s">
        <v>2712</v>
      </c>
      <c r="G453" s="4706" t="s">
        <v>22</v>
      </c>
      <c r="H453" s="4706" t="s">
        <v>22</v>
      </c>
      <c r="I453" s="4706" t="s">
        <v>928</v>
      </c>
    </row>
    <row customHeight="1" ht="11.25">
      <c r="A454" s="4706" t="s">
        <v>2429</v>
      </c>
      <c r="B454" s="4706" t="s">
        <v>16</v>
      </c>
      <c r="C454" s="4706" t="s">
        <v>2560</v>
      </c>
      <c r="D454" s="4706" t="s">
        <v>2561</v>
      </c>
      <c r="E454" s="4706" t="s">
        <v>2562</v>
      </c>
      <c r="F454" s="4706" t="s">
        <v>2563</v>
      </c>
      <c r="G454" s="4706" t="s">
        <v>22</v>
      </c>
      <c r="H454" s="4706" t="s">
        <v>22</v>
      </c>
      <c r="I454" s="4706" t="s">
        <v>928</v>
      </c>
    </row>
    <row customHeight="1" ht="11.25">
      <c r="A455" s="4706" t="s">
        <v>2429</v>
      </c>
      <c r="B455" s="4706" t="s">
        <v>16</v>
      </c>
      <c r="C455" s="4706" t="s">
        <v>3152</v>
      </c>
      <c r="D455" s="4706" t="s">
        <v>3153</v>
      </c>
      <c r="E455" s="4706" t="s">
        <v>3154</v>
      </c>
      <c r="F455" s="4706" t="s">
        <v>2570</v>
      </c>
      <c r="G455" s="4706" t="s">
        <v>22</v>
      </c>
      <c r="H455" s="4706" t="s">
        <v>22</v>
      </c>
      <c r="I455" s="4706" t="s">
        <v>928</v>
      </c>
    </row>
    <row customHeight="1" ht="11.25">
      <c r="A456" s="4706" t="s">
        <v>2429</v>
      </c>
      <c r="B456" s="4706" t="s">
        <v>16</v>
      </c>
      <c r="C456" s="4706" t="s">
        <v>2564</v>
      </c>
      <c r="D456" s="4706" t="s">
        <v>2565</v>
      </c>
      <c r="E456" s="4706" t="s">
        <v>2566</v>
      </c>
      <c r="F456" s="4706" t="s">
        <v>2523</v>
      </c>
      <c r="G456" s="4706" t="s">
        <v>22</v>
      </c>
      <c r="H456" s="4706" t="s">
        <v>22</v>
      </c>
      <c r="I456" s="4706" t="s">
        <v>928</v>
      </c>
    </row>
    <row customHeight="1" ht="11.25">
      <c r="A457" s="4706" t="s">
        <v>2429</v>
      </c>
      <c r="B457" s="4706" t="s">
        <v>16</v>
      </c>
      <c r="C457" s="4706" t="s">
        <v>2573</v>
      </c>
      <c r="D457" s="4706" t="s">
        <v>2574</v>
      </c>
      <c r="E457" s="4706" t="s">
        <v>2575</v>
      </c>
      <c r="F457" s="4706" t="s">
        <v>2576</v>
      </c>
      <c r="G457" s="4706" t="s">
        <v>22</v>
      </c>
      <c r="H457" s="4706" t="s">
        <v>22</v>
      </c>
      <c r="I457" s="4706" t="s">
        <v>928</v>
      </c>
    </row>
    <row customHeight="1" ht="11.25">
      <c r="A458" s="4706" t="s">
        <v>2429</v>
      </c>
      <c r="B458" s="4706" t="s">
        <v>16</v>
      </c>
      <c r="C458" s="4706" t="s">
        <v>2577</v>
      </c>
      <c r="D458" s="4706" t="s">
        <v>2578</v>
      </c>
      <c r="E458" s="4706" t="s">
        <v>2579</v>
      </c>
      <c r="F458" s="4706" t="s">
        <v>2576</v>
      </c>
      <c r="G458" s="4706" t="s">
        <v>22</v>
      </c>
      <c r="H458" s="4706" t="s">
        <v>22</v>
      </c>
      <c r="I458" s="4706" t="s">
        <v>928</v>
      </c>
    </row>
    <row customHeight="1" ht="11.25">
      <c r="A459" s="4706" t="s">
        <v>2429</v>
      </c>
      <c r="B459" s="4706" t="s">
        <v>16</v>
      </c>
      <c r="C459" s="4706" t="s">
        <v>2584</v>
      </c>
      <c r="D459" s="4706" t="s">
        <v>2585</v>
      </c>
      <c r="E459" s="4706" t="s">
        <v>2586</v>
      </c>
      <c r="F459" s="4706" t="s">
        <v>2465</v>
      </c>
      <c r="G459" s="4706" t="s">
        <v>22</v>
      </c>
      <c r="H459" s="4706" t="s">
        <v>22</v>
      </c>
      <c r="I459" s="4706" t="s">
        <v>928</v>
      </c>
    </row>
    <row customHeight="1" ht="11.25">
      <c r="A460" s="4706" t="s">
        <v>2429</v>
      </c>
      <c r="B460" s="4706" t="s">
        <v>16</v>
      </c>
      <c r="C460" s="4706" t="s">
        <v>3286</v>
      </c>
      <c r="D460" s="4706" t="s">
        <v>3287</v>
      </c>
      <c r="E460" s="4706" t="s">
        <v>3288</v>
      </c>
      <c r="F460" s="4706" t="s">
        <v>2437</v>
      </c>
      <c r="G460" s="4706" t="s">
        <v>22</v>
      </c>
      <c r="H460" s="4706" t="s">
        <v>22</v>
      </c>
      <c r="I460" s="4706" t="s">
        <v>928</v>
      </c>
    </row>
    <row customHeight="1" ht="11.25">
      <c r="A461" s="4706" t="s">
        <v>2429</v>
      </c>
      <c r="B461" s="4706" t="s">
        <v>16</v>
      </c>
      <c r="C461" s="4706" t="s">
        <v>2597</v>
      </c>
      <c r="D461" s="4706" t="s">
        <v>2598</v>
      </c>
      <c r="E461" s="4706" t="s">
        <v>2599</v>
      </c>
      <c r="F461" s="4706" t="s">
        <v>2523</v>
      </c>
      <c r="G461" s="4706" t="s">
        <v>22</v>
      </c>
      <c r="H461" s="4706" t="s">
        <v>22</v>
      </c>
      <c r="I461" s="4706" t="s">
        <v>928</v>
      </c>
    </row>
    <row customHeight="1" ht="11.25">
      <c r="A462" s="4706" t="s">
        <v>2429</v>
      </c>
      <c r="B462" s="4706" t="s">
        <v>16</v>
      </c>
      <c r="C462" s="4706" t="s">
        <v>3158</v>
      </c>
      <c r="D462" s="4706" t="s">
        <v>3159</v>
      </c>
      <c r="E462" s="4706" t="s">
        <v>3160</v>
      </c>
      <c r="F462" s="4706" t="s">
        <v>2666</v>
      </c>
      <c r="G462" s="4706" t="s">
        <v>22</v>
      </c>
      <c r="H462" s="4706" t="s">
        <v>22</v>
      </c>
      <c r="I462" s="4706" t="s">
        <v>928</v>
      </c>
    </row>
    <row customHeight="1" ht="11.25">
      <c r="A463" s="4706" t="s">
        <v>2429</v>
      </c>
      <c r="B463" s="4706" t="s">
        <v>16</v>
      </c>
      <c r="C463" s="4706" t="s">
        <v>3161</v>
      </c>
      <c r="D463" s="4706" t="s">
        <v>3162</v>
      </c>
      <c r="E463" s="4706" t="s">
        <v>3163</v>
      </c>
      <c r="F463" s="4706" t="s">
        <v>2624</v>
      </c>
      <c r="G463" s="4706" t="s">
        <v>22</v>
      </c>
      <c r="H463" s="4706" t="s">
        <v>22</v>
      </c>
      <c r="I463" s="4706" t="s">
        <v>928</v>
      </c>
    </row>
    <row customHeight="1" ht="11.25">
      <c r="A464" s="4706" t="s">
        <v>2429</v>
      </c>
      <c r="B464" s="4706" t="s">
        <v>16</v>
      </c>
      <c r="C464" s="4706" t="s">
        <v>3167</v>
      </c>
      <c r="D464" s="4706" t="s">
        <v>3168</v>
      </c>
      <c r="E464" s="4706" t="s">
        <v>3169</v>
      </c>
      <c r="F464" s="4706" t="s">
        <v>2523</v>
      </c>
      <c r="G464" s="4706" t="s">
        <v>22</v>
      </c>
      <c r="H464" s="4706" t="s">
        <v>22</v>
      </c>
      <c r="I464" s="4706" t="s">
        <v>928</v>
      </c>
    </row>
    <row customHeight="1" ht="11.25">
      <c r="A465" s="4706" t="s">
        <v>2429</v>
      </c>
      <c r="B465" s="4706" t="s">
        <v>16</v>
      </c>
      <c r="C465" s="4706" t="s">
        <v>3170</v>
      </c>
      <c r="D465" s="4706" t="s">
        <v>3171</v>
      </c>
      <c r="E465" s="4706" t="s">
        <v>3172</v>
      </c>
      <c r="F465" s="4706" t="s">
        <v>2528</v>
      </c>
      <c r="G465" s="4706" t="s">
        <v>22</v>
      </c>
      <c r="H465" s="4706" t="s">
        <v>22</v>
      </c>
      <c r="I465" s="4706" t="s">
        <v>928</v>
      </c>
    </row>
    <row customHeight="1" ht="11.25">
      <c r="A466" s="4706" t="s">
        <v>2429</v>
      </c>
      <c r="B466" s="4706" t="s">
        <v>16</v>
      </c>
      <c r="C466" s="4706" t="s">
        <v>2621</v>
      </c>
      <c r="D466" s="4706" t="s">
        <v>2622</v>
      </c>
      <c r="E466" s="4706" t="s">
        <v>2623</v>
      </c>
      <c r="F466" s="4706" t="s">
        <v>2624</v>
      </c>
      <c r="G466" s="4706" t="s">
        <v>22</v>
      </c>
      <c r="H466" s="4706" t="s">
        <v>22</v>
      </c>
      <c r="I466" s="4706" t="s">
        <v>928</v>
      </c>
    </row>
    <row customHeight="1" ht="11.25">
      <c r="A467" s="4706" t="s">
        <v>2429</v>
      </c>
      <c r="B467" s="4706" t="s">
        <v>16</v>
      </c>
      <c r="C467" s="4706" t="s">
        <v>2625</v>
      </c>
      <c r="D467" s="4706" t="s">
        <v>2626</v>
      </c>
      <c r="E467" s="4706" t="s">
        <v>2627</v>
      </c>
      <c r="F467" s="4706" t="s">
        <v>2437</v>
      </c>
      <c r="G467" s="4706" t="s">
        <v>22</v>
      </c>
      <c r="H467" s="4706" t="s">
        <v>22</v>
      </c>
      <c r="I467" s="4706" t="s">
        <v>928</v>
      </c>
    </row>
    <row customHeight="1" ht="11.25">
      <c r="A468" s="4706" t="s">
        <v>2429</v>
      </c>
      <c r="B468" s="4706" t="s">
        <v>16</v>
      </c>
      <c r="C468" s="4706" t="s">
        <v>2628</v>
      </c>
      <c r="D468" s="4706" t="s">
        <v>2629</v>
      </c>
      <c r="E468" s="4706" t="s">
        <v>2630</v>
      </c>
      <c r="F468" s="4706" t="s">
        <v>2437</v>
      </c>
      <c r="G468" s="4706" t="s">
        <v>22</v>
      </c>
      <c r="H468" s="4706" t="s">
        <v>22</v>
      </c>
      <c r="I468" s="4706" t="s">
        <v>928</v>
      </c>
    </row>
    <row customHeight="1" ht="11.25">
      <c r="A469" s="4706" t="s">
        <v>2429</v>
      </c>
      <c r="B469" s="4706" t="s">
        <v>16</v>
      </c>
      <c r="C469" s="4706" t="s">
        <v>2631</v>
      </c>
      <c r="D469" s="4706" t="s">
        <v>2632</v>
      </c>
      <c r="E469" s="4706" t="s">
        <v>2633</v>
      </c>
      <c r="F469" s="4706" t="s">
        <v>2437</v>
      </c>
      <c r="G469" s="4706" t="s">
        <v>22</v>
      </c>
      <c r="H469" s="4706" t="s">
        <v>22</v>
      </c>
      <c r="I469" s="4706" t="s">
        <v>928</v>
      </c>
    </row>
    <row customHeight="1" ht="11.25">
      <c r="A470" s="4706" t="s">
        <v>2429</v>
      </c>
      <c r="B470" s="4706" t="s">
        <v>16</v>
      </c>
      <c r="C470" s="4706" t="s">
        <v>2657</v>
      </c>
      <c r="D470" s="4706" t="s">
        <v>2658</v>
      </c>
      <c r="E470" s="4706" t="s">
        <v>2659</v>
      </c>
      <c r="F470" s="4706" t="s">
        <v>2555</v>
      </c>
      <c r="G470" s="4706" t="s">
        <v>22</v>
      </c>
      <c r="H470" s="4706" t="s">
        <v>22</v>
      </c>
      <c r="I470" s="4706" t="s">
        <v>928</v>
      </c>
    </row>
    <row customHeight="1" ht="11.25">
      <c r="A471" s="4706" t="s">
        <v>2429</v>
      </c>
      <c r="B471" s="4706" t="s">
        <v>16</v>
      </c>
      <c r="C471" s="4706" t="s">
        <v>2668</v>
      </c>
      <c r="D471" s="4706" t="s">
        <v>2669</v>
      </c>
      <c r="E471" s="4706" t="s">
        <v>2670</v>
      </c>
      <c r="F471" s="4706" t="s">
        <v>2666</v>
      </c>
      <c r="G471" s="4706" t="s">
        <v>22</v>
      </c>
      <c r="H471" s="4706" t="s">
        <v>22</v>
      </c>
      <c r="I471" s="4706" t="s">
        <v>928</v>
      </c>
    </row>
    <row customHeight="1" ht="11.25">
      <c r="A472" s="4706" t="s">
        <v>2429</v>
      </c>
      <c r="B472" s="4706" t="s">
        <v>16</v>
      </c>
      <c r="C472" s="4706" t="s">
        <v>3084</v>
      </c>
      <c r="D472" s="4706" t="s">
        <v>3085</v>
      </c>
      <c r="E472" s="4706" t="s">
        <v>3086</v>
      </c>
      <c r="F472" s="4706" t="s">
        <v>2666</v>
      </c>
      <c r="G472" s="4706" t="s">
        <v>22</v>
      </c>
      <c r="H472" s="4706" t="s">
        <v>22</v>
      </c>
      <c r="I472" s="4706" t="s">
        <v>928</v>
      </c>
    </row>
    <row customHeight="1" ht="11.25">
      <c r="A473" s="4706" t="s">
        <v>2429</v>
      </c>
      <c r="B473" s="4706" t="s">
        <v>16</v>
      </c>
      <c r="C473" s="4706" t="s">
        <v>2677</v>
      </c>
      <c r="D473" s="4706" t="s">
        <v>2678</v>
      </c>
      <c r="E473" s="4706" t="s">
        <v>2679</v>
      </c>
      <c r="F473" s="4706" t="s">
        <v>2465</v>
      </c>
      <c r="G473" s="4706" t="s">
        <v>22</v>
      </c>
      <c r="H473" s="4706" t="s">
        <v>22</v>
      </c>
      <c r="I473" s="4706" t="s">
        <v>928</v>
      </c>
    </row>
    <row customHeight="1" ht="11.25">
      <c r="A474" s="4706" t="s">
        <v>2429</v>
      </c>
      <c r="B474" s="4706" t="s">
        <v>16</v>
      </c>
      <c r="C474" s="4706" t="s">
        <v>2680</v>
      </c>
      <c r="D474" s="4706" t="s">
        <v>2681</v>
      </c>
      <c r="E474" s="4706" t="s">
        <v>2682</v>
      </c>
      <c r="F474" s="4706" t="s">
        <v>2465</v>
      </c>
      <c r="G474" s="4706" t="s">
        <v>2683</v>
      </c>
      <c r="H474" s="4706" t="s">
        <v>22</v>
      </c>
      <c r="I474" s="4706" t="s">
        <v>928</v>
      </c>
    </row>
    <row customHeight="1" ht="11.25">
      <c r="A475" s="4706" t="s">
        <v>2429</v>
      </c>
      <c r="B475" s="4706" t="s">
        <v>16</v>
      </c>
      <c r="C475" s="4706" t="s">
        <v>3182</v>
      </c>
      <c r="D475" s="4706" t="s">
        <v>3183</v>
      </c>
      <c r="E475" s="4706" t="s">
        <v>3184</v>
      </c>
      <c r="F475" s="4706" t="s">
        <v>2528</v>
      </c>
      <c r="G475" s="4706" t="s">
        <v>22</v>
      </c>
      <c r="H475" s="4706" t="s">
        <v>22</v>
      </c>
      <c r="I475" s="4706" t="s">
        <v>928</v>
      </c>
    </row>
    <row customHeight="1" ht="11.25">
      <c r="A476" s="4706" t="s">
        <v>2429</v>
      </c>
      <c r="B476" s="4706" t="s">
        <v>16</v>
      </c>
      <c r="C476" s="4706" t="s">
        <v>3185</v>
      </c>
      <c r="D476" s="4706" t="s">
        <v>3186</v>
      </c>
      <c r="E476" s="4706" t="s">
        <v>3187</v>
      </c>
      <c r="F476" s="4706" t="s">
        <v>2624</v>
      </c>
      <c r="G476" s="4706" t="s">
        <v>22</v>
      </c>
      <c r="H476" s="4706" t="s">
        <v>22</v>
      </c>
      <c r="I476" s="4706" t="s">
        <v>928</v>
      </c>
    </row>
    <row customHeight="1" ht="11.25">
      <c r="A477" s="4706" t="s">
        <v>2429</v>
      </c>
      <c r="B477" s="4706" t="s">
        <v>16</v>
      </c>
      <c r="C477" s="4706" t="s">
        <v>3188</v>
      </c>
      <c r="D477" s="4706" t="s">
        <v>3186</v>
      </c>
      <c r="E477" s="4706" t="s">
        <v>3189</v>
      </c>
      <c r="F477" s="4706" t="s">
        <v>2465</v>
      </c>
      <c r="G477" s="4706" t="s">
        <v>3190</v>
      </c>
      <c r="H477" s="4706" t="s">
        <v>22</v>
      </c>
      <c r="I477" s="4706" t="s">
        <v>928</v>
      </c>
    </row>
    <row customHeight="1" ht="11.25">
      <c r="A478" s="4706" t="s">
        <v>2429</v>
      </c>
      <c r="B478" s="4706" t="s">
        <v>16</v>
      </c>
      <c r="C478" s="4706" t="s">
        <v>3191</v>
      </c>
      <c r="D478" s="4706" t="s">
        <v>3192</v>
      </c>
      <c r="E478" s="4706" t="s">
        <v>3193</v>
      </c>
      <c r="F478" s="4706" t="s">
        <v>2570</v>
      </c>
      <c r="G478" s="4706" t="s">
        <v>22</v>
      </c>
      <c r="H478" s="4706" t="s">
        <v>22</v>
      </c>
      <c r="I478" s="4706" t="s">
        <v>928</v>
      </c>
    </row>
    <row customHeight="1" ht="11.25">
      <c r="A479" s="4706" t="s">
        <v>2429</v>
      </c>
      <c r="B479" s="4706" t="s">
        <v>16</v>
      </c>
      <c r="C479" s="4706" t="s">
        <v>3197</v>
      </c>
      <c r="D479" s="4706" t="s">
        <v>3198</v>
      </c>
      <c r="E479" s="4706" t="s">
        <v>3199</v>
      </c>
      <c r="F479" s="4706" t="s">
        <v>2774</v>
      </c>
      <c r="G479" s="4706" t="s">
        <v>22</v>
      </c>
      <c r="H479" s="4706" t="s">
        <v>22</v>
      </c>
      <c r="I479" s="4706" t="s">
        <v>928</v>
      </c>
    </row>
    <row customHeight="1" ht="11.25">
      <c r="A480" s="4706" t="s">
        <v>2429</v>
      </c>
      <c r="B480" s="4706" t="s">
        <v>16</v>
      </c>
      <c r="C480" s="4706" t="s">
        <v>3200</v>
      </c>
      <c r="D480" s="4706" t="s">
        <v>3201</v>
      </c>
      <c r="E480" s="4706" t="s">
        <v>3202</v>
      </c>
      <c r="F480" s="4706" t="s">
        <v>2624</v>
      </c>
      <c r="G480" s="4706" t="s">
        <v>22</v>
      </c>
      <c r="H480" s="4706" t="s">
        <v>22</v>
      </c>
      <c r="I480" s="4706" t="s">
        <v>928</v>
      </c>
    </row>
    <row customHeight="1" ht="11.25">
      <c r="A481" s="4706" t="s">
        <v>2429</v>
      </c>
      <c r="B481" s="4706" t="s">
        <v>16</v>
      </c>
      <c r="C481" s="4706" t="s">
        <v>3203</v>
      </c>
      <c r="D481" s="4706" t="s">
        <v>3204</v>
      </c>
      <c r="E481" s="4706" t="s">
        <v>3205</v>
      </c>
      <c r="F481" s="4706" t="s">
        <v>2528</v>
      </c>
      <c r="G481" s="4706" t="s">
        <v>3206</v>
      </c>
      <c r="H481" s="4706" t="s">
        <v>22</v>
      </c>
      <c r="I481" s="4706" t="s">
        <v>928</v>
      </c>
    </row>
    <row customHeight="1" ht="11.25">
      <c r="A482" s="4706" t="s">
        <v>2429</v>
      </c>
      <c r="B482" s="4706" t="s">
        <v>16</v>
      </c>
      <c r="C482" s="4706" t="s">
        <v>3207</v>
      </c>
      <c r="D482" s="4706" t="s">
        <v>3208</v>
      </c>
      <c r="E482" s="4706" t="s">
        <v>3209</v>
      </c>
      <c r="F482" s="4706" t="s">
        <v>2528</v>
      </c>
      <c r="G482" s="4706" t="s">
        <v>22</v>
      </c>
      <c r="H482" s="4706" t="s">
        <v>22</v>
      </c>
      <c r="I482" s="4706" t="s">
        <v>928</v>
      </c>
    </row>
    <row customHeight="1" ht="11.25">
      <c r="A483" s="4706" t="s">
        <v>2429</v>
      </c>
      <c r="B483" s="4706" t="s">
        <v>16</v>
      </c>
      <c r="C483" s="4706" t="s">
        <v>3087</v>
      </c>
      <c r="D483" s="4706" t="s">
        <v>3088</v>
      </c>
      <c r="E483" s="4706" t="s">
        <v>3089</v>
      </c>
      <c r="F483" s="4706" t="s">
        <v>2896</v>
      </c>
      <c r="G483" s="4706" t="s">
        <v>22</v>
      </c>
      <c r="H483" s="4706" t="s">
        <v>22</v>
      </c>
      <c r="I483" s="4706" t="s">
        <v>928</v>
      </c>
    </row>
    <row customHeight="1" ht="11.25">
      <c r="A484" s="4706" t="s">
        <v>2429</v>
      </c>
      <c r="B484" s="4706" t="s">
        <v>16</v>
      </c>
      <c r="C484" s="4706" t="s">
        <v>2703</v>
      </c>
      <c r="D484" s="4706" t="s">
        <v>2704</v>
      </c>
      <c r="E484" s="4706" t="s">
        <v>2705</v>
      </c>
      <c r="F484" s="4706" t="s">
        <v>2570</v>
      </c>
      <c r="G484" s="4706" t="s">
        <v>22</v>
      </c>
      <c r="H484" s="4706" t="s">
        <v>22</v>
      </c>
      <c r="I484" s="4706" t="s">
        <v>928</v>
      </c>
    </row>
    <row customHeight="1" ht="11.25">
      <c r="A485" s="4706" t="s">
        <v>2429</v>
      </c>
      <c r="B485" s="4706" t="s">
        <v>16</v>
      </c>
      <c r="C485" s="4706" t="s">
        <v>2713</v>
      </c>
      <c r="D485" s="4706" t="s">
        <v>2714</v>
      </c>
      <c r="E485" s="4706" t="s">
        <v>2715</v>
      </c>
      <c r="F485" s="4706" t="s">
        <v>2437</v>
      </c>
      <c r="G485" s="4706" t="s">
        <v>2716</v>
      </c>
      <c r="H485" s="4706" t="s">
        <v>22</v>
      </c>
      <c r="I485" s="4706" t="s">
        <v>928</v>
      </c>
    </row>
    <row customHeight="1" ht="11.25">
      <c r="A486" s="4706" t="s">
        <v>2429</v>
      </c>
      <c r="B486" s="4706" t="s">
        <v>16</v>
      </c>
      <c r="C486" s="4706" t="s">
        <v>2723</v>
      </c>
      <c r="D486" s="4706" t="s">
        <v>2724</v>
      </c>
      <c r="E486" s="4706" t="s">
        <v>2725</v>
      </c>
      <c r="F486" s="4706" t="s">
        <v>2570</v>
      </c>
      <c r="G486" s="4706" t="s">
        <v>22</v>
      </c>
      <c r="H486" s="4706" t="s">
        <v>22</v>
      </c>
      <c r="I486" s="4706" t="s">
        <v>928</v>
      </c>
    </row>
    <row customHeight="1" ht="11.25">
      <c r="A487" s="4706" t="s">
        <v>2429</v>
      </c>
      <c r="B487" s="4706" t="s">
        <v>16</v>
      </c>
      <c r="C487" s="4706" t="s">
        <v>2726</v>
      </c>
      <c r="D487" s="4706" t="s">
        <v>2727</v>
      </c>
      <c r="E487" s="4706" t="s">
        <v>2728</v>
      </c>
      <c r="F487" s="4706" t="s">
        <v>2461</v>
      </c>
      <c r="G487" s="4706" t="s">
        <v>2729</v>
      </c>
      <c r="H487" s="4706" t="s">
        <v>22</v>
      </c>
      <c r="I487" s="4706" t="s">
        <v>928</v>
      </c>
    </row>
    <row customHeight="1" ht="11.25">
      <c r="A488" s="4706" t="s">
        <v>2429</v>
      </c>
      <c r="B488" s="4706" t="s">
        <v>16</v>
      </c>
      <c r="C488" s="4706" t="s">
        <v>3210</v>
      </c>
      <c r="D488" s="4706" t="s">
        <v>3211</v>
      </c>
      <c r="E488" s="4706" t="s">
        <v>3212</v>
      </c>
      <c r="F488" s="4706" t="s">
        <v>2643</v>
      </c>
      <c r="G488" s="4706" t="s">
        <v>22</v>
      </c>
      <c r="H488" s="4706" t="s">
        <v>22</v>
      </c>
      <c r="I488" s="4706" t="s">
        <v>928</v>
      </c>
    </row>
    <row customHeight="1" ht="11.25">
      <c r="A489" s="4706" t="s">
        <v>2429</v>
      </c>
      <c r="B489" s="4706" t="s">
        <v>16</v>
      </c>
      <c r="C489" s="4706" t="s">
        <v>3213</v>
      </c>
      <c r="D489" s="4706" t="s">
        <v>3214</v>
      </c>
      <c r="E489" s="4706" t="s">
        <v>3215</v>
      </c>
      <c r="F489" s="4706" t="s">
        <v>2740</v>
      </c>
      <c r="G489" s="4706" t="s">
        <v>22</v>
      </c>
      <c r="H489" s="4706" t="s">
        <v>22</v>
      </c>
      <c r="I489" s="4706" t="s">
        <v>928</v>
      </c>
    </row>
    <row customHeight="1" ht="11.25">
      <c r="A490" s="4706" t="s">
        <v>2429</v>
      </c>
      <c r="B490" s="4706" t="s">
        <v>16</v>
      </c>
      <c r="C490" s="4706" t="s">
        <v>3216</v>
      </c>
      <c r="D490" s="4706" t="s">
        <v>3217</v>
      </c>
      <c r="E490" s="4706" t="s">
        <v>3218</v>
      </c>
      <c r="F490" s="4706" t="s">
        <v>2896</v>
      </c>
      <c r="G490" s="4706" t="s">
        <v>22</v>
      </c>
      <c r="H490" s="4706" t="s">
        <v>22</v>
      </c>
      <c r="I490" s="4706" t="s">
        <v>928</v>
      </c>
    </row>
    <row customHeight="1" ht="11.25">
      <c r="A491" s="4706" t="s">
        <v>2429</v>
      </c>
      <c r="B491" s="4706" t="s">
        <v>16</v>
      </c>
      <c r="C491" s="4706" t="s">
        <v>3222</v>
      </c>
      <c r="D491" s="4706" t="s">
        <v>2749</v>
      </c>
      <c r="E491" s="4706" t="s">
        <v>3223</v>
      </c>
      <c r="F491" s="4706" t="s">
        <v>2896</v>
      </c>
      <c r="G491" s="4706" t="s">
        <v>3224</v>
      </c>
      <c r="H491" s="4706" t="s">
        <v>22</v>
      </c>
      <c r="I491" s="4706" t="s">
        <v>928</v>
      </c>
    </row>
    <row customHeight="1" ht="11.25">
      <c r="A492" s="4706" t="s">
        <v>2429</v>
      </c>
      <c r="B492" s="4706" t="s">
        <v>16</v>
      </c>
      <c r="C492" s="4706" t="s">
        <v>2762</v>
      </c>
      <c r="D492" s="4706" t="s">
        <v>2763</v>
      </c>
      <c r="E492" s="4706" t="s">
        <v>2764</v>
      </c>
      <c r="F492" s="4706" t="s">
        <v>2465</v>
      </c>
      <c r="G492" s="4706" t="s">
        <v>22</v>
      </c>
      <c r="H492" s="4706" t="s">
        <v>22</v>
      </c>
      <c r="I492" s="4706" t="s">
        <v>928</v>
      </c>
    </row>
    <row customHeight="1" ht="11.25">
      <c r="A493" s="4706" t="s">
        <v>2429</v>
      </c>
      <c r="B493" s="4706" t="s">
        <v>16</v>
      </c>
      <c r="C493" s="4706" t="s">
        <v>2765</v>
      </c>
      <c r="D493" s="4706" t="s">
        <v>2766</v>
      </c>
      <c r="E493" s="4706" t="s">
        <v>2767</v>
      </c>
      <c r="F493" s="4706" t="s">
        <v>2624</v>
      </c>
      <c r="G493" s="4706" t="s">
        <v>22</v>
      </c>
      <c r="H493" s="4706" t="s">
        <v>22</v>
      </c>
      <c r="I493" s="4706" t="s">
        <v>928</v>
      </c>
    </row>
    <row customHeight="1" ht="11.25">
      <c r="A494" s="4706" t="s">
        <v>2429</v>
      </c>
      <c r="B494" s="4706" t="s">
        <v>16</v>
      </c>
      <c r="C494" s="4706" t="s">
        <v>2823</v>
      </c>
      <c r="D494" s="4706" t="s">
        <v>2824</v>
      </c>
      <c r="E494" s="4706" t="s">
        <v>2825</v>
      </c>
      <c r="F494" s="4706" t="s">
        <v>2774</v>
      </c>
      <c r="G494" s="4706" t="s">
        <v>22</v>
      </c>
      <c r="H494" s="4706" t="s">
        <v>22</v>
      </c>
      <c r="I494" s="4706" t="s">
        <v>928</v>
      </c>
    </row>
    <row customHeight="1" ht="11.25">
      <c r="A495" s="4706" t="s">
        <v>2429</v>
      </c>
      <c r="B495" s="4706" t="s">
        <v>16</v>
      </c>
      <c r="C495" s="4706" t="s">
        <v>3228</v>
      </c>
      <c r="D495" s="4706" t="s">
        <v>3229</v>
      </c>
      <c r="E495" s="4706" t="s">
        <v>3230</v>
      </c>
      <c r="F495" s="4706" t="s">
        <v>2563</v>
      </c>
      <c r="G495" s="4706" t="s">
        <v>22</v>
      </c>
      <c r="H495" s="4706" t="s">
        <v>22</v>
      </c>
      <c r="I495" s="4706" t="s">
        <v>928</v>
      </c>
    </row>
    <row customHeight="1" ht="11.25">
      <c r="A496" s="4706" t="s">
        <v>2429</v>
      </c>
      <c r="B496" s="4706" t="s">
        <v>16</v>
      </c>
      <c r="C496" s="4706" t="s">
        <v>2836</v>
      </c>
      <c r="D496" s="4706" t="s">
        <v>2837</v>
      </c>
      <c r="E496" s="4706" t="s">
        <v>2838</v>
      </c>
      <c r="F496" s="4706" t="s">
        <v>2437</v>
      </c>
      <c r="G496" s="4706" t="s">
        <v>22</v>
      </c>
      <c r="H496" s="4706" t="s">
        <v>22</v>
      </c>
      <c r="I496" s="4706" t="s">
        <v>928</v>
      </c>
    </row>
    <row customHeight="1" ht="11.25">
      <c r="A497" s="4706" t="s">
        <v>2429</v>
      </c>
      <c r="B497" s="4706" t="s">
        <v>16</v>
      </c>
      <c r="C497" s="4706" t="s">
        <v>2842</v>
      </c>
      <c r="D497" s="4706" t="s">
        <v>2843</v>
      </c>
      <c r="E497" s="4706" t="s">
        <v>2844</v>
      </c>
      <c r="F497" s="4706" t="s">
        <v>2563</v>
      </c>
      <c r="G497" s="4706" t="s">
        <v>22</v>
      </c>
      <c r="H497" s="4706" t="s">
        <v>22</v>
      </c>
      <c r="I497" s="4706" t="s">
        <v>928</v>
      </c>
    </row>
    <row customHeight="1" ht="11.25">
      <c r="A498" s="4706" t="s">
        <v>2429</v>
      </c>
      <c r="B498" s="4706" t="s">
        <v>16</v>
      </c>
      <c r="C498" s="4706" t="s">
        <v>3231</v>
      </c>
      <c r="D498" s="4706" t="s">
        <v>3232</v>
      </c>
      <c r="E498" s="4706" t="s">
        <v>3233</v>
      </c>
      <c r="F498" s="4706" t="s">
        <v>2488</v>
      </c>
      <c r="G498" s="4706" t="s">
        <v>22</v>
      </c>
      <c r="H498" s="4706" t="s">
        <v>22</v>
      </c>
      <c r="I498" s="4706" t="s">
        <v>928</v>
      </c>
    </row>
    <row customHeight="1" ht="11.25">
      <c r="A499" s="4706" t="s">
        <v>2429</v>
      </c>
      <c r="B499" s="4706" t="s">
        <v>16</v>
      </c>
      <c r="C499" s="4706" t="s">
        <v>3234</v>
      </c>
      <c r="D499" s="4706" t="s">
        <v>3235</v>
      </c>
      <c r="E499" s="4706" t="s">
        <v>3236</v>
      </c>
      <c r="F499" s="4706" t="s">
        <v>2528</v>
      </c>
      <c r="G499" s="4706" t="s">
        <v>22</v>
      </c>
      <c r="H499" s="4706" t="s">
        <v>22</v>
      </c>
      <c r="I499" s="4706" t="s">
        <v>928</v>
      </c>
    </row>
    <row customHeight="1" ht="11.25">
      <c r="A500" s="4706" t="s">
        <v>2429</v>
      </c>
      <c r="B500" s="4706" t="s">
        <v>16</v>
      </c>
      <c r="C500" s="4706" t="s">
        <v>3237</v>
      </c>
      <c r="D500" s="4706" t="s">
        <v>2849</v>
      </c>
      <c r="E500" s="4706" t="s">
        <v>3238</v>
      </c>
      <c r="F500" s="4706" t="s">
        <v>2563</v>
      </c>
      <c r="G500" s="4706" t="s">
        <v>22</v>
      </c>
      <c r="H500" s="4706" t="s">
        <v>22</v>
      </c>
      <c r="I500" s="4706" t="s">
        <v>928</v>
      </c>
    </row>
    <row customHeight="1" ht="11.25">
      <c r="A501" s="4706" t="s">
        <v>2429</v>
      </c>
      <c r="B501" s="4706" t="s">
        <v>16</v>
      </c>
      <c r="C501" s="4706" t="s">
        <v>3239</v>
      </c>
      <c r="D501" s="4706" t="s">
        <v>3240</v>
      </c>
      <c r="E501" s="4706" t="s">
        <v>3241</v>
      </c>
      <c r="F501" s="4706" t="s">
        <v>2570</v>
      </c>
      <c r="G501" s="4706" t="s">
        <v>22</v>
      </c>
      <c r="H501" s="4706" t="s">
        <v>22</v>
      </c>
      <c r="I501" s="4706" t="s">
        <v>928</v>
      </c>
    </row>
    <row customHeight="1" ht="11.25">
      <c r="A502" s="4706" t="s">
        <v>2429</v>
      </c>
      <c r="B502" s="4706" t="s">
        <v>16</v>
      </c>
      <c r="C502" s="4706" t="s">
        <v>2866</v>
      </c>
      <c r="D502" s="4706" t="s">
        <v>2867</v>
      </c>
      <c r="E502" s="4706" t="s">
        <v>2868</v>
      </c>
      <c r="F502" s="4706" t="s">
        <v>2563</v>
      </c>
      <c r="G502" s="4706" t="s">
        <v>22</v>
      </c>
      <c r="H502" s="4706" t="s">
        <v>22</v>
      </c>
      <c r="I502" s="4706" t="s">
        <v>928</v>
      </c>
    </row>
    <row customHeight="1" ht="11.25">
      <c r="A503" s="4706" t="s">
        <v>2429</v>
      </c>
      <c r="B503" s="4706" t="s">
        <v>16</v>
      </c>
      <c r="C503" s="4706" t="s">
        <v>2869</v>
      </c>
      <c r="D503" s="4706" t="s">
        <v>2870</v>
      </c>
      <c r="E503" s="4706" t="s">
        <v>2871</v>
      </c>
      <c r="F503" s="4706" t="s">
        <v>2563</v>
      </c>
      <c r="G503" s="4706" t="s">
        <v>22</v>
      </c>
      <c r="H503" s="4706" t="s">
        <v>22</v>
      </c>
      <c r="I503" s="4706" t="s">
        <v>928</v>
      </c>
    </row>
    <row customHeight="1" ht="11.25">
      <c r="A504" s="4706" t="s">
        <v>2429</v>
      </c>
      <c r="B504" s="4706" t="s">
        <v>16</v>
      </c>
      <c r="C504" s="4706" t="s">
        <v>3248</v>
      </c>
      <c r="D504" s="4706" t="s">
        <v>3249</v>
      </c>
      <c r="E504" s="4706" t="s">
        <v>3250</v>
      </c>
      <c r="F504" s="4706" t="s">
        <v>2576</v>
      </c>
      <c r="G504" s="4706" t="s">
        <v>22</v>
      </c>
      <c r="H504" s="4706" t="s">
        <v>22</v>
      </c>
      <c r="I504" s="4706" t="s">
        <v>928</v>
      </c>
    </row>
    <row customHeight="1" ht="11.25">
      <c r="A505" s="4706" t="s">
        <v>2429</v>
      </c>
      <c r="B505" s="4706" t="s">
        <v>16</v>
      </c>
      <c r="C505" s="4706" t="s">
        <v>3251</v>
      </c>
      <c r="D505" s="4706" t="s">
        <v>3252</v>
      </c>
      <c r="E505" s="4706" t="s">
        <v>3253</v>
      </c>
      <c r="F505" s="4706" t="s">
        <v>2465</v>
      </c>
      <c r="G505" s="4706" t="s">
        <v>3254</v>
      </c>
      <c r="H505" s="4706" t="s">
        <v>22</v>
      </c>
      <c r="I505" s="4706" t="s">
        <v>928</v>
      </c>
    </row>
    <row customHeight="1" ht="11.25">
      <c r="A506" s="4706" t="s">
        <v>2429</v>
      </c>
      <c r="B506" s="4706" t="s">
        <v>16</v>
      </c>
      <c r="C506" s="4706" t="s">
        <v>2931</v>
      </c>
      <c r="D506" s="4706" t="s">
        <v>2932</v>
      </c>
      <c r="E506" s="4706" t="s">
        <v>2933</v>
      </c>
      <c r="F506" s="4706" t="s">
        <v>2740</v>
      </c>
      <c r="G506" s="4706" t="s">
        <v>22</v>
      </c>
      <c r="H506" s="4706" t="s">
        <v>22</v>
      </c>
      <c r="I506" s="4706" t="s">
        <v>928</v>
      </c>
    </row>
    <row customHeight="1" ht="11.25">
      <c r="A507" s="4706" t="s">
        <v>2429</v>
      </c>
      <c r="B507" s="4706" t="s">
        <v>16</v>
      </c>
      <c r="C507" s="4706" t="s">
        <v>2934</v>
      </c>
      <c r="D507" s="4706" t="s">
        <v>2935</v>
      </c>
      <c r="E507" s="4706" t="s">
        <v>2936</v>
      </c>
      <c r="F507" s="4706" t="s">
        <v>2523</v>
      </c>
      <c r="G507" s="4706" t="s">
        <v>2937</v>
      </c>
      <c r="H507" s="4706" t="s">
        <v>22</v>
      </c>
      <c r="I507" s="4706" t="s">
        <v>928</v>
      </c>
    </row>
    <row customHeight="1" ht="11.25">
      <c r="A508" s="4706" t="s">
        <v>2429</v>
      </c>
      <c r="B508" s="4706" t="s">
        <v>16</v>
      </c>
      <c r="C508" s="4706" t="s">
        <v>2970</v>
      </c>
      <c r="D508" s="4706" t="s">
        <v>2971</v>
      </c>
      <c r="E508" s="4706" t="s">
        <v>2972</v>
      </c>
      <c r="F508" s="4706" t="s">
        <v>2563</v>
      </c>
      <c r="G508" s="4706" t="s">
        <v>22</v>
      </c>
      <c r="H508" s="4706" t="s">
        <v>22</v>
      </c>
      <c r="I508" s="4706" t="s">
        <v>928</v>
      </c>
    </row>
    <row customHeight="1" ht="11.25">
      <c r="A509" s="4706" t="s">
        <v>2429</v>
      </c>
      <c r="B509" s="4706" t="s">
        <v>16</v>
      </c>
      <c r="C509" s="4706" t="s">
        <v>3258</v>
      </c>
      <c r="D509" s="4706" t="s">
        <v>3259</v>
      </c>
      <c r="E509" s="4706" t="s">
        <v>3260</v>
      </c>
      <c r="F509" s="4706" t="s">
        <v>3261</v>
      </c>
      <c r="G509" s="4706" t="s">
        <v>22</v>
      </c>
      <c r="H509" s="4706" t="s">
        <v>22</v>
      </c>
      <c r="I509" s="4706" t="s">
        <v>928</v>
      </c>
    </row>
    <row customHeight="1" ht="11.25">
      <c r="A510" s="4706" t="s">
        <v>2429</v>
      </c>
      <c r="B510" s="4706" t="s">
        <v>16</v>
      </c>
      <c r="C510" s="4706" t="s">
        <v>3289</v>
      </c>
      <c r="D510" s="4706" t="s">
        <v>3290</v>
      </c>
      <c r="E510" s="4706" t="s">
        <v>3291</v>
      </c>
      <c r="F510" s="4706" t="s">
        <v>2437</v>
      </c>
      <c r="G510" s="4706" t="s">
        <v>22</v>
      </c>
      <c r="H510" s="4706" t="s">
        <v>22</v>
      </c>
      <c r="I510" s="4706" t="s">
        <v>928</v>
      </c>
    </row>
    <row customHeight="1" ht="11.25">
      <c r="A511" s="4706" t="s">
        <v>2429</v>
      </c>
      <c r="B511" s="4706" t="s">
        <v>16</v>
      </c>
      <c r="C511" s="4706" t="s">
        <v>3262</v>
      </c>
      <c r="D511" s="4706" t="s">
        <v>3263</v>
      </c>
      <c r="E511" s="4706" t="s">
        <v>3264</v>
      </c>
      <c r="F511" s="4706" t="s">
        <v>2774</v>
      </c>
      <c r="G511" s="4706" t="s">
        <v>22</v>
      </c>
      <c r="H511" s="4706" t="s">
        <v>22</v>
      </c>
      <c r="I511" s="4706" t="s">
        <v>928</v>
      </c>
    </row>
    <row customHeight="1" ht="11.25">
      <c r="A512" s="4706" t="s">
        <v>2429</v>
      </c>
      <c r="B512" s="4706" t="s">
        <v>16</v>
      </c>
      <c r="C512" s="4706" t="s">
        <v>3265</v>
      </c>
      <c r="D512" s="4706" t="s">
        <v>3266</v>
      </c>
      <c r="E512" s="4706" t="s">
        <v>3267</v>
      </c>
      <c r="F512" s="4706" t="s">
        <v>2523</v>
      </c>
      <c r="G512" s="4706" t="s">
        <v>22</v>
      </c>
      <c r="H512" s="4706" t="s">
        <v>22</v>
      </c>
      <c r="I512" s="4706" t="s">
        <v>928</v>
      </c>
    </row>
    <row customHeight="1" ht="11.25">
      <c r="A513" s="4706" t="s">
        <v>2429</v>
      </c>
      <c r="B513" s="4706" t="s">
        <v>16</v>
      </c>
      <c r="C513" s="4706" t="s">
        <v>2983</v>
      </c>
      <c r="D513" s="4706" t="s">
        <v>2984</v>
      </c>
      <c r="E513" s="4706" t="s">
        <v>2985</v>
      </c>
      <c r="F513" s="4706" t="s">
        <v>2523</v>
      </c>
      <c r="G513" s="4706" t="s">
        <v>22</v>
      </c>
      <c r="H513" s="4706" t="s">
        <v>22</v>
      </c>
      <c r="I513" s="4706" t="s">
        <v>928</v>
      </c>
    </row>
    <row customHeight="1" ht="11.25">
      <c r="A514" s="4706" t="s">
        <v>2429</v>
      </c>
      <c r="B514" s="4706" t="s">
        <v>16</v>
      </c>
      <c r="C514" s="4706" t="s">
        <v>3292</v>
      </c>
      <c r="D514" s="4706" t="s">
        <v>3293</v>
      </c>
      <c r="E514" s="4706" t="s">
        <v>3294</v>
      </c>
      <c r="F514" s="4706" t="s">
        <v>3295</v>
      </c>
      <c r="G514" s="4706" t="s">
        <v>22</v>
      </c>
      <c r="H514" s="4706" t="s">
        <v>22</v>
      </c>
      <c r="I514" s="4706" t="s">
        <v>928</v>
      </c>
    </row>
    <row customHeight="1" ht="11.25">
      <c r="A515" s="4706" t="s">
        <v>2429</v>
      </c>
      <c r="B515" s="4706" t="s">
        <v>16</v>
      </c>
      <c r="C515" s="4706" t="s">
        <v>3296</v>
      </c>
      <c r="D515" s="4706" t="s">
        <v>3297</v>
      </c>
      <c r="E515" s="4706" t="s">
        <v>3298</v>
      </c>
      <c r="F515" s="4706" t="s">
        <v>2437</v>
      </c>
      <c r="G515" s="4706" t="s">
        <v>22</v>
      </c>
      <c r="H515" s="4706" t="s">
        <v>22</v>
      </c>
      <c r="I515" s="4706" t="s">
        <v>928</v>
      </c>
    </row>
    <row customHeight="1" ht="11.25">
      <c r="A516" s="4706" t="s">
        <v>2429</v>
      </c>
      <c r="B516" s="4706" t="s">
        <v>16</v>
      </c>
      <c r="C516" s="4706" t="s">
        <v>3021</v>
      </c>
      <c r="D516" s="4706" t="s">
        <v>3022</v>
      </c>
      <c r="E516" s="4706" t="s">
        <v>3023</v>
      </c>
      <c r="F516" s="4706" t="s">
        <v>2483</v>
      </c>
      <c r="G516" s="4706" t="s">
        <v>22</v>
      </c>
      <c r="H516" s="4706" t="s">
        <v>22</v>
      </c>
      <c r="I516" s="4706" t="s">
        <v>928</v>
      </c>
    </row>
    <row customHeight="1" ht="11.25">
      <c r="A517" s="4706" t="s">
        <v>2429</v>
      </c>
      <c r="B517" s="4706" t="s">
        <v>16</v>
      </c>
      <c r="C517" s="4706" t="s">
        <v>3274</v>
      </c>
      <c r="D517" s="4706" t="s">
        <v>3275</v>
      </c>
      <c r="E517" s="4706" t="s">
        <v>3276</v>
      </c>
      <c r="F517" s="4706" t="s">
        <v>2712</v>
      </c>
      <c r="G517" s="4706" t="s">
        <v>22</v>
      </c>
      <c r="H517" s="4706" t="s">
        <v>22</v>
      </c>
      <c r="I517" s="4706" t="s">
        <v>928</v>
      </c>
    </row>
    <row customHeight="1" ht="11.25">
      <c r="A518" s="4706" t="s">
        <v>2429</v>
      </c>
      <c r="B518" s="4706" t="s">
        <v>16</v>
      </c>
      <c r="C518" s="4706" t="s">
        <v>3277</v>
      </c>
      <c r="D518" s="4706" t="s">
        <v>3278</v>
      </c>
      <c r="E518" s="4706" t="s">
        <v>3279</v>
      </c>
      <c r="F518" s="4706" t="s">
        <v>2624</v>
      </c>
      <c r="G518" s="4706" t="s">
        <v>22</v>
      </c>
      <c r="H518" s="4706" t="s">
        <v>22</v>
      </c>
      <c r="I518" s="4706" t="s">
        <v>928</v>
      </c>
    </row>
    <row customHeight="1" ht="11.25">
      <c r="A519" s="4706" t="s">
        <v>2429</v>
      </c>
      <c r="B519" s="4706" t="s">
        <v>16</v>
      </c>
      <c r="C519" s="4706" t="s">
        <v>3280</v>
      </c>
      <c r="D519" s="4706" t="s">
        <v>3281</v>
      </c>
      <c r="E519" s="4706" t="s">
        <v>3282</v>
      </c>
      <c r="F519" s="4706" t="s">
        <v>2465</v>
      </c>
      <c r="G519" s="4706" t="s">
        <v>22</v>
      </c>
      <c r="H519" s="4706" t="s">
        <v>22</v>
      </c>
      <c r="I519" s="4706" t="s">
        <v>928</v>
      </c>
    </row>
    <row customHeight="1" ht="11.25">
      <c r="A520" s="4706" t="s">
        <v>2429</v>
      </c>
      <c r="B520" s="4706" t="s">
        <v>16</v>
      </c>
      <c r="C520" s="4706" t="s">
        <v>22</v>
      </c>
      <c r="D520" s="4706" t="s">
        <v>3051</v>
      </c>
      <c r="E520" s="4706" t="s">
        <v>3052</v>
      </c>
      <c r="F520" s="4706" t="s">
        <v>2437</v>
      </c>
      <c r="G520" s="4706" t="s">
        <v>22</v>
      </c>
      <c r="H520" s="4706" t="s">
        <v>22</v>
      </c>
      <c r="I520" s="4706" t="s">
        <v>928</v>
      </c>
    </row>
    <row customHeight="1" ht="11.25">
      <c r="A521" s="4706" t="s">
        <v>2429</v>
      </c>
      <c r="B521" s="4706" t="s">
        <v>16</v>
      </c>
      <c r="C521" s="4706" t="s">
        <v>3053</v>
      </c>
      <c r="D521" s="4706" t="s">
        <v>3054</v>
      </c>
      <c r="E521" s="4706" t="s">
        <v>3055</v>
      </c>
      <c r="F521" s="4706" t="s">
        <v>3056</v>
      </c>
      <c r="G521" s="4706" t="s">
        <v>22</v>
      </c>
      <c r="H521" s="4706" t="s">
        <v>22</v>
      </c>
      <c r="I521" s="4706" t="s">
        <v>928</v>
      </c>
    </row>
    <row customHeight="1" ht="11.25">
      <c r="A522" s="4706" t="s">
        <v>2429</v>
      </c>
      <c r="B522" s="4706" t="s">
        <v>16</v>
      </c>
      <c r="C522" s="4706" t="s">
        <v>3057</v>
      </c>
      <c r="D522" s="4706" t="s">
        <v>3058</v>
      </c>
      <c r="E522" s="4706" t="s">
        <v>3055</v>
      </c>
      <c r="F522" s="4706" t="s">
        <v>3059</v>
      </c>
      <c r="G522" s="4706" t="s">
        <v>3060</v>
      </c>
      <c r="H522" s="4706" t="s">
        <v>22</v>
      </c>
      <c r="I522" s="4706" t="s">
        <v>928</v>
      </c>
    </row>
    <row customHeight="1" ht="11.25">
      <c r="A523" s="4706" t="s">
        <v>2429</v>
      </c>
      <c r="B523" s="4706" t="s">
        <v>16</v>
      </c>
      <c r="C523" s="4706" t="s">
        <v>3061</v>
      </c>
      <c r="D523" s="4706" t="s">
        <v>3062</v>
      </c>
      <c r="E523" s="4706" t="s">
        <v>3063</v>
      </c>
      <c r="F523" s="4706" t="s">
        <v>2441</v>
      </c>
      <c r="G523" s="4706" t="s">
        <v>22</v>
      </c>
      <c r="H523" s="4706" t="s">
        <v>22</v>
      </c>
      <c r="I523" s="4706" t="s">
        <v>928</v>
      </c>
    </row>
    <row customHeight="1" ht="11.25">
      <c r="A524" s="4706" t="s">
        <v>2429</v>
      </c>
      <c r="B524" s="4706" t="s">
        <v>16</v>
      </c>
      <c r="C524" s="4706" t="s">
        <v>3299</v>
      </c>
      <c r="D524" s="4706" t="s">
        <v>3300</v>
      </c>
      <c r="E524" s="4706" t="s">
        <v>3301</v>
      </c>
      <c r="F524" s="4706" t="s">
        <v>593</v>
      </c>
      <c r="G524" s="4706" t="s">
        <v>22</v>
      </c>
      <c r="H524" s="4706" t="s">
        <v>22</v>
      </c>
      <c r="I524" s="4706" t="s">
        <v>1799</v>
      </c>
    </row>
    <row customHeight="1" ht="11.25">
      <c r="A525" s="4706" t="s">
        <v>2429</v>
      </c>
      <c r="B525" s="4706" t="s">
        <v>16</v>
      </c>
      <c r="C525" s="4706" t="s">
        <v>3302</v>
      </c>
      <c r="D525" s="4706" t="s">
        <v>3303</v>
      </c>
      <c r="E525" s="4706" t="s">
        <v>3304</v>
      </c>
      <c r="F525" s="4706" t="s">
        <v>593</v>
      </c>
      <c r="G525" s="4706" t="s">
        <v>22</v>
      </c>
      <c r="H525" s="4706" t="s">
        <v>22</v>
      </c>
      <c r="I525" s="4706" t="s">
        <v>1799</v>
      </c>
    </row>
    <row customHeight="1" ht="11.25">
      <c r="A526" s="4706" t="s">
        <v>2429</v>
      </c>
      <c r="B526" s="4706" t="s">
        <v>16</v>
      </c>
      <c r="C526" s="4706" t="s">
        <v>2536</v>
      </c>
      <c r="D526" s="4706" t="s">
        <v>2537</v>
      </c>
      <c r="E526" s="4706" t="s">
        <v>2538</v>
      </c>
      <c r="F526" s="4706" t="s">
        <v>2488</v>
      </c>
      <c r="G526" s="4706" t="s">
        <v>22</v>
      </c>
      <c r="H526" s="4706" t="s">
        <v>22</v>
      </c>
      <c r="I526" s="4706" t="s">
        <v>1799</v>
      </c>
    </row>
    <row customHeight="1" ht="11.25">
      <c r="A527" s="4706" t="s">
        <v>2429</v>
      </c>
      <c r="B527" s="4706" t="s">
        <v>16</v>
      </c>
      <c r="C527" s="4706" t="s">
        <v>3305</v>
      </c>
      <c r="D527" s="4706" t="s">
        <v>3306</v>
      </c>
      <c r="E527" s="4706" t="s">
        <v>3307</v>
      </c>
      <c r="F527" s="4706" t="s">
        <v>2437</v>
      </c>
      <c r="G527" s="4706" t="s">
        <v>22</v>
      </c>
      <c r="H527" s="4706" t="s">
        <v>22</v>
      </c>
      <c r="I527" s="4706" t="s">
        <v>1799</v>
      </c>
    </row>
    <row customHeight="1" ht="11.25">
      <c r="A528" s="4706" t="s">
        <v>2429</v>
      </c>
      <c r="B528" s="4706" t="s">
        <v>16</v>
      </c>
      <c r="C528" s="4706" t="s">
        <v>3308</v>
      </c>
      <c r="D528" s="4706" t="s">
        <v>3309</v>
      </c>
      <c r="E528" s="4706" t="s">
        <v>3310</v>
      </c>
      <c r="F528" s="4706" t="s">
        <v>2441</v>
      </c>
      <c r="G528" s="4706" t="s">
        <v>22</v>
      </c>
      <c r="H528" s="4706" t="s">
        <v>22</v>
      </c>
      <c r="I528" s="4706" t="s">
        <v>1799</v>
      </c>
    </row>
    <row customHeight="1" ht="11.25">
      <c r="A529" s="4706" t="s">
        <v>2429</v>
      </c>
      <c r="B529" s="4706" t="s">
        <v>16</v>
      </c>
      <c r="C529" s="4706" t="s">
        <v>3311</v>
      </c>
      <c r="D529" s="4706" t="s">
        <v>3312</v>
      </c>
      <c r="E529" s="4706" t="s">
        <v>3313</v>
      </c>
      <c r="F529" s="4706" t="s">
        <v>2624</v>
      </c>
      <c r="G529" s="4706" t="s">
        <v>22</v>
      </c>
      <c r="H529" s="4706" t="s">
        <v>22</v>
      </c>
      <c r="I529" s="4706" t="s">
        <v>1799</v>
      </c>
    </row>
    <row customHeight="1" ht="11.25">
      <c r="A530" s="4706" t="s">
        <v>2429</v>
      </c>
      <c r="B530" s="4706" t="s">
        <v>16</v>
      </c>
      <c r="C530" s="4706" t="s">
        <v>3314</v>
      </c>
      <c r="D530" s="4706" t="s">
        <v>3315</v>
      </c>
      <c r="E530" s="4706" t="s">
        <v>3316</v>
      </c>
      <c r="F530" s="4706" t="s">
        <v>2774</v>
      </c>
      <c r="G530" s="4706" t="s">
        <v>22</v>
      </c>
      <c r="H530" s="4706" t="s">
        <v>22</v>
      </c>
      <c r="I530" s="4706" t="s">
        <v>1799</v>
      </c>
    </row>
    <row customHeight="1" ht="11.25">
      <c r="A531" s="4706" t="s">
        <v>2429</v>
      </c>
      <c r="B531" s="4706" t="s">
        <v>16</v>
      </c>
      <c r="C531" s="4706" t="s">
        <v>3317</v>
      </c>
      <c r="D531" s="4706" t="s">
        <v>3318</v>
      </c>
      <c r="E531" s="4706" t="s">
        <v>3319</v>
      </c>
      <c r="F531" s="4706" t="s">
        <v>2437</v>
      </c>
      <c r="G531" s="4706" t="s">
        <v>22</v>
      </c>
      <c r="H531" s="4706" t="s">
        <v>22</v>
      </c>
      <c r="I531" s="4706" t="s">
        <v>1799</v>
      </c>
    </row>
    <row customHeight="1" ht="11.25">
      <c r="A532" s="4706" t="s">
        <v>2429</v>
      </c>
      <c r="B532" s="4706" t="s">
        <v>16</v>
      </c>
      <c r="C532" s="4706" t="s">
        <v>3320</v>
      </c>
      <c r="D532" s="4706" t="s">
        <v>3321</v>
      </c>
      <c r="E532" s="4706" t="s">
        <v>3322</v>
      </c>
      <c r="F532" s="4706" t="s">
        <v>2624</v>
      </c>
      <c r="G532" s="4706" t="s">
        <v>22</v>
      </c>
      <c r="H532" s="4706" t="s">
        <v>22</v>
      </c>
      <c r="I532" s="4706" t="s">
        <v>1799</v>
      </c>
    </row>
    <row customHeight="1" ht="11.25">
      <c r="A533" s="4706" t="s">
        <v>2429</v>
      </c>
      <c r="B533" s="4706" t="s">
        <v>16</v>
      </c>
      <c r="C533" s="4706" t="s">
        <v>3323</v>
      </c>
      <c r="D533" s="4706" t="s">
        <v>3324</v>
      </c>
      <c r="E533" s="4706" t="s">
        <v>3325</v>
      </c>
      <c r="F533" s="4706" t="s">
        <v>2437</v>
      </c>
      <c r="G533" s="4706" t="s">
        <v>22</v>
      </c>
      <c r="H533" s="4706" t="s">
        <v>22</v>
      </c>
      <c r="I533" s="4706" t="s">
        <v>1799</v>
      </c>
    </row>
    <row customHeight="1" ht="11.25">
      <c r="A534" s="4706" t="s">
        <v>2429</v>
      </c>
      <c r="B534" s="4706" t="s">
        <v>16</v>
      </c>
      <c r="C534" s="4706" t="s">
        <v>3326</v>
      </c>
      <c r="D534" s="4706" t="s">
        <v>3327</v>
      </c>
      <c r="E534" s="4706" t="s">
        <v>3328</v>
      </c>
      <c r="F534" s="4706" t="s">
        <v>2437</v>
      </c>
      <c r="G534" s="4706" t="s">
        <v>22</v>
      </c>
      <c r="H534" s="4706" t="s">
        <v>22</v>
      </c>
      <c r="I534" s="4706" t="s">
        <v>1799</v>
      </c>
    </row>
    <row customHeight="1" ht="11.25">
      <c r="A535" s="4706" t="s">
        <v>2429</v>
      </c>
      <c r="B535" s="4706" t="s">
        <v>16</v>
      </c>
      <c r="C535" s="4706" t="s">
        <v>3329</v>
      </c>
      <c r="D535" s="4706" t="s">
        <v>3330</v>
      </c>
      <c r="E535" s="4706" t="s">
        <v>3331</v>
      </c>
      <c r="F535" s="4706" t="s">
        <v>2437</v>
      </c>
      <c r="G535" s="4706" t="s">
        <v>22</v>
      </c>
      <c r="H535" s="4706" t="s">
        <v>22</v>
      </c>
      <c r="I535" s="4706" t="s">
        <v>1799</v>
      </c>
    </row>
    <row customHeight="1" ht="11.25">
      <c r="A536" s="4706" t="s">
        <v>2429</v>
      </c>
      <c r="B536" s="4706" t="s">
        <v>16</v>
      </c>
      <c r="C536" s="4706" t="s">
        <v>3332</v>
      </c>
      <c r="D536" s="4706" t="s">
        <v>3333</v>
      </c>
      <c r="E536" s="4706" t="s">
        <v>3334</v>
      </c>
      <c r="F536" s="4706" t="s">
        <v>2528</v>
      </c>
      <c r="G536" s="4706" t="s">
        <v>22</v>
      </c>
      <c r="H536" s="4706" t="s">
        <v>22</v>
      </c>
      <c r="I536" s="4706" t="s">
        <v>1799</v>
      </c>
    </row>
    <row customHeight="1" ht="11.25">
      <c r="A537" s="4706" t="s">
        <v>2429</v>
      </c>
      <c r="B537" s="4706" t="s">
        <v>16</v>
      </c>
      <c r="C537" s="4706" t="s">
        <v>3335</v>
      </c>
      <c r="D537" s="4706" t="s">
        <v>3336</v>
      </c>
      <c r="E537" s="4706" t="s">
        <v>3337</v>
      </c>
      <c r="F537" s="4706" t="s">
        <v>2774</v>
      </c>
      <c r="G537" s="4706" t="s">
        <v>22</v>
      </c>
      <c r="H537" s="4706" t="s">
        <v>22</v>
      </c>
      <c r="I537" s="4706" t="s">
        <v>1799</v>
      </c>
    </row>
    <row customHeight="1" ht="11.25">
      <c r="A538" s="4706" t="s">
        <v>2429</v>
      </c>
      <c r="B538" s="4706" t="s">
        <v>16</v>
      </c>
      <c r="C538" s="4706" t="s">
        <v>3338</v>
      </c>
      <c r="D538" s="4706" t="s">
        <v>3339</v>
      </c>
      <c r="E538" s="4706" t="s">
        <v>3340</v>
      </c>
      <c r="F538" s="4706" t="s">
        <v>2528</v>
      </c>
      <c r="G538" s="4706" t="s">
        <v>22</v>
      </c>
      <c r="H538" s="4706" t="s">
        <v>22</v>
      </c>
      <c r="I538" s="4706" t="s">
        <v>1799</v>
      </c>
    </row>
    <row customHeight="1" ht="11.25">
      <c r="A539" s="4706" t="s">
        <v>2429</v>
      </c>
      <c r="B539" s="4706" t="s">
        <v>16</v>
      </c>
      <c r="C539" s="4706" t="s">
        <v>22</v>
      </c>
      <c r="D539" s="4706" t="s">
        <v>3051</v>
      </c>
      <c r="E539" s="4706" t="s">
        <v>3052</v>
      </c>
      <c r="F539" s="4706" t="s">
        <v>2437</v>
      </c>
      <c r="G539" s="4706" t="s">
        <v>22</v>
      </c>
      <c r="H539" s="4706" t="s">
        <v>22</v>
      </c>
      <c r="I539" s="4706" t="s">
        <v>1799</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84967F-4B49-E183-E97D-05003AC8D96E}" mc:Ignorable="x14ac xr xr2 xr3">
  <sheetPr>
    <tabColor rgb="FFFFCC99"/>
  </sheetPr>
  <dimension ref="A1:G139"/>
  <sheetViews>
    <sheetView topLeftCell="A1" showGridLines="0" workbookViewId="0">
      <selection activeCell="A1" sqref="A1"/>
    </sheetView>
  </sheetViews>
  <sheetFormatPr customHeight="1" defaultRowHeight="11.25"/>
  <cols>
    <col min="1" max="1" style="34718" width="9.140625"/>
  </cols>
  <sheetData>
    <row customHeight="1" ht="11.25">
      <c r="A1" s="999" t="s">
        <v>3341</v>
      </c>
      <c r="B1" s="688" t="s">
        <v>3342</v>
      </c>
      <c r="C1" s="688" t="s">
        <v>3343</v>
      </c>
      <c r="D1" s="688" t="s">
        <v>3344</v>
      </c>
      <c r="E1" s="575" t="s">
        <v>3345</v>
      </c>
      <c r="F1" s="575" t="s">
        <v>3346</v>
      </c>
      <c r="G1" s="575" t="s">
        <v>3347</v>
      </c>
    </row>
    <row customHeight="1" ht="11.25">
      <c r="A2" s="999" t="s">
        <v>16</v>
      </c>
      <c r="B2" s="0" t="s">
        <v>3348</v>
      </c>
      <c r="C2" s="0" t="s">
        <v>3349</v>
      </c>
      <c r="D2" s="0" t="s">
        <v>3348</v>
      </c>
      <c r="E2" s="0" t="s">
        <v>3349</v>
      </c>
      <c r="F2" s="0" t="s">
        <v>3350</v>
      </c>
      <c r="G2" s="0" t="s">
        <v>118</v>
      </c>
    </row>
    <row customHeight="1" ht="11.25">
      <c r="A3" s="999" t="s">
        <v>16</v>
      </c>
      <c r="B3" s="0" t="s">
        <v>3351</v>
      </c>
      <c r="C3" s="0" t="s">
        <v>3352</v>
      </c>
      <c r="D3" s="0" t="s">
        <v>3351</v>
      </c>
      <c r="E3" s="0" t="s">
        <v>3352</v>
      </c>
      <c r="F3" s="0" t="s">
        <v>3350</v>
      </c>
      <c r="G3" s="0" t="s">
        <v>102</v>
      </c>
    </row>
    <row customHeight="1" ht="11.25">
      <c r="A4" s="999" t="s">
        <v>16</v>
      </c>
      <c r="B4" s="0" t="s">
        <v>109</v>
      </c>
      <c r="C4" s="0" t="s">
        <v>3353</v>
      </c>
      <c r="D4" s="0" t="s">
        <v>109</v>
      </c>
      <c r="E4" s="0" t="s">
        <v>3353</v>
      </c>
      <c r="F4" s="0" t="s">
        <v>3350</v>
      </c>
      <c r="G4" s="0" t="s">
        <v>90</v>
      </c>
    </row>
    <row customHeight="1" ht="11.25">
      <c r="A5" s="999" t="s">
        <v>16</v>
      </c>
      <c r="B5" s="0" t="s">
        <v>109</v>
      </c>
      <c r="C5" s="0" t="s">
        <v>3353</v>
      </c>
      <c r="D5" s="0" t="s">
        <v>110</v>
      </c>
      <c r="E5" s="0" t="s">
        <v>111</v>
      </c>
      <c r="F5" s="0" t="s">
        <v>3354</v>
      </c>
      <c r="G5" s="0" t="s">
        <v>91</v>
      </c>
    </row>
    <row customHeight="1" ht="11.25">
      <c r="A6" s="999" t="s">
        <v>16</v>
      </c>
      <c r="B6" s="0" t="s">
        <v>3355</v>
      </c>
      <c r="C6" s="0" t="s">
        <v>3356</v>
      </c>
      <c r="D6" s="0" t="s">
        <v>3355</v>
      </c>
      <c r="E6" s="0" t="s">
        <v>3356</v>
      </c>
      <c r="F6" s="0" t="s">
        <v>3350</v>
      </c>
      <c r="G6" s="0" t="s">
        <v>119</v>
      </c>
    </row>
    <row customHeight="1" ht="11.25">
      <c r="A7" s="999" t="s">
        <v>16</v>
      </c>
      <c r="B7" s="0" t="s">
        <v>3357</v>
      </c>
      <c r="C7" s="0" t="s">
        <v>3358</v>
      </c>
      <c r="D7" s="0" t="s">
        <v>3357</v>
      </c>
      <c r="E7" s="0" t="s">
        <v>3358</v>
      </c>
      <c r="F7" s="0" t="s">
        <v>3359</v>
      </c>
      <c r="G7" s="0" t="s">
        <v>92</v>
      </c>
    </row>
    <row customHeight="1" ht="11.25">
      <c r="A8" s="999" t="s">
        <v>16</v>
      </c>
      <c r="B8" s="0" t="s">
        <v>99</v>
      </c>
      <c r="C8" s="0" t="s">
        <v>100</v>
      </c>
      <c r="D8" s="0" t="s">
        <v>99</v>
      </c>
      <c r="E8" s="0" t="s">
        <v>100</v>
      </c>
      <c r="F8" s="0" t="s">
        <v>3359</v>
      </c>
      <c r="G8" s="0" t="s">
        <v>93</v>
      </c>
    </row>
    <row customHeight="1" ht="11.25">
      <c r="A9" s="999" t="s">
        <v>16</v>
      </c>
      <c r="B9" s="0" t="s">
        <v>3360</v>
      </c>
      <c r="C9" s="0" t="s">
        <v>3361</v>
      </c>
      <c r="D9" s="0" t="s">
        <v>3360</v>
      </c>
      <c r="E9" s="0" t="s">
        <v>3361</v>
      </c>
      <c r="F9" s="0" t="s">
        <v>3359</v>
      </c>
      <c r="G9" s="0" t="s">
        <v>120</v>
      </c>
    </row>
    <row customHeight="1" ht="11.25">
      <c r="A10" s="999" t="s">
        <v>16</v>
      </c>
      <c r="B10" s="0" t="s">
        <v>3362</v>
      </c>
      <c r="C10" s="0" t="s">
        <v>3363</v>
      </c>
      <c r="D10" s="0" t="s">
        <v>3362</v>
      </c>
      <c r="E10" s="0" t="s">
        <v>3363</v>
      </c>
      <c r="F10" s="0" t="s">
        <v>3359</v>
      </c>
      <c r="G10" s="0" t="s">
        <v>168</v>
      </c>
    </row>
    <row customHeight="1" ht="11.25">
      <c r="A11" s="999" t="s">
        <v>16</v>
      </c>
      <c r="B11" s="0" t="s">
        <v>3364</v>
      </c>
      <c r="C11" s="0" t="s">
        <v>3365</v>
      </c>
      <c r="D11" s="0" t="s">
        <v>3364</v>
      </c>
      <c r="E11" s="0" t="s">
        <v>3365</v>
      </c>
      <c r="F11" s="0" t="s">
        <v>3359</v>
      </c>
      <c r="G11" s="0" t="s">
        <v>169</v>
      </c>
    </row>
    <row customHeight="1" ht="11.25">
      <c r="A12" s="999" t="s">
        <v>16</v>
      </c>
      <c r="B12" s="0" t="s">
        <v>3366</v>
      </c>
      <c r="C12" s="0" t="s">
        <v>3367</v>
      </c>
      <c r="D12" s="0" t="s">
        <v>3366</v>
      </c>
      <c r="E12" s="0" t="s">
        <v>3367</v>
      </c>
      <c r="F12" s="0" t="s">
        <v>3359</v>
      </c>
      <c r="G12" s="0" t="s">
        <v>170</v>
      </c>
    </row>
    <row customHeight="1" ht="11.25">
      <c r="A13" s="999" t="s">
        <v>16</v>
      </c>
      <c r="B13" s="0" t="s">
        <v>3368</v>
      </c>
      <c r="C13" s="0" t="s">
        <v>3369</v>
      </c>
      <c r="D13" s="0" t="s">
        <v>3368</v>
      </c>
      <c r="E13" s="0" t="s">
        <v>3369</v>
      </c>
      <c r="F13" s="0" t="s">
        <v>3359</v>
      </c>
      <c r="G13" s="0" t="s">
        <v>171</v>
      </c>
    </row>
    <row customHeight="1" ht="11.25">
      <c r="A14" s="999" t="s">
        <v>16</v>
      </c>
      <c r="B14" s="0" t="s">
        <v>3370</v>
      </c>
      <c r="C14" s="0" t="s">
        <v>3371</v>
      </c>
      <c r="D14" s="0" t="s">
        <v>3370</v>
      </c>
      <c r="E14" s="0" t="s">
        <v>3371</v>
      </c>
      <c r="F14" s="0" t="s">
        <v>3359</v>
      </c>
      <c r="G14" s="0" t="s">
        <v>172</v>
      </c>
    </row>
    <row customHeight="1" ht="11.25">
      <c r="A15" s="999" t="s">
        <v>16</v>
      </c>
      <c r="B15" s="0" t="s">
        <v>3372</v>
      </c>
      <c r="C15" s="0" t="s">
        <v>3373</v>
      </c>
      <c r="D15" s="0" t="s">
        <v>3372</v>
      </c>
      <c r="E15" s="0" t="s">
        <v>3373</v>
      </c>
      <c r="F15" s="0" t="s">
        <v>3350</v>
      </c>
      <c r="G15" s="0" t="s">
        <v>173</v>
      </c>
    </row>
    <row customHeight="1" ht="11.25">
      <c r="A16" s="999" t="s">
        <v>16</v>
      </c>
      <c r="B16" s="0" t="s">
        <v>3374</v>
      </c>
      <c r="C16" s="0" t="s">
        <v>3375</v>
      </c>
      <c r="D16" s="0" t="s">
        <v>3374</v>
      </c>
      <c r="E16" s="0" t="s">
        <v>3375</v>
      </c>
      <c r="F16" s="0" t="s">
        <v>3350</v>
      </c>
      <c r="G16" s="0" t="s">
        <v>1642</v>
      </c>
    </row>
    <row customHeight="1" ht="11.25">
      <c r="A17" s="999" t="s">
        <v>16</v>
      </c>
      <c r="B17" s="0" t="s">
        <v>3376</v>
      </c>
      <c r="C17" s="0" t="s">
        <v>3377</v>
      </c>
      <c r="D17" s="0" t="s">
        <v>3378</v>
      </c>
      <c r="E17" s="0" t="s">
        <v>3379</v>
      </c>
      <c r="F17" s="0" t="s">
        <v>3354</v>
      </c>
      <c r="G17" s="0" t="s">
        <v>1648</v>
      </c>
    </row>
    <row customHeight="1" ht="11.25">
      <c r="A18" s="999" t="s">
        <v>16</v>
      </c>
      <c r="B18" s="0" t="s">
        <v>3376</v>
      </c>
      <c r="C18" s="0" t="s">
        <v>3377</v>
      </c>
      <c r="D18" s="0" t="s">
        <v>3380</v>
      </c>
      <c r="E18" s="0" t="s">
        <v>3381</v>
      </c>
      <c r="F18" s="0" t="s">
        <v>3354</v>
      </c>
      <c r="G18" s="0" t="s">
        <v>1660</v>
      </c>
    </row>
    <row customHeight="1" ht="11.25">
      <c r="A19" s="999" t="s">
        <v>16</v>
      </c>
      <c r="B19" s="0" t="s">
        <v>3376</v>
      </c>
      <c r="C19" s="0" t="s">
        <v>3377</v>
      </c>
      <c r="D19" s="0" t="s">
        <v>3382</v>
      </c>
      <c r="E19" s="0" t="s">
        <v>3383</v>
      </c>
      <c r="F19" s="0" t="s">
        <v>3354</v>
      </c>
      <c r="G19" s="0" t="s">
        <v>1674</v>
      </c>
    </row>
    <row customHeight="1" ht="11.25">
      <c r="A20" s="999" t="s">
        <v>16</v>
      </c>
      <c r="B20" s="0" t="s">
        <v>3376</v>
      </c>
      <c r="C20" s="0" t="s">
        <v>3377</v>
      </c>
      <c r="D20" s="0" t="s">
        <v>3384</v>
      </c>
      <c r="E20" s="0" t="s">
        <v>3385</v>
      </c>
      <c r="F20" s="0" t="s">
        <v>3354</v>
      </c>
      <c r="G20" s="0" t="s">
        <v>1686</v>
      </c>
    </row>
    <row customHeight="1" ht="11.25">
      <c r="A21" s="999" t="s">
        <v>16</v>
      </c>
      <c r="B21" s="0" t="s">
        <v>3376</v>
      </c>
      <c r="C21" s="0" t="s">
        <v>3377</v>
      </c>
      <c r="D21" s="0" t="s">
        <v>3386</v>
      </c>
      <c r="E21" s="0" t="s">
        <v>3387</v>
      </c>
      <c r="F21" s="0" t="s">
        <v>3354</v>
      </c>
      <c r="G21" s="0" t="s">
        <v>1695</v>
      </c>
    </row>
    <row customHeight="1" ht="11.25">
      <c r="A22" s="999" t="s">
        <v>16</v>
      </c>
      <c r="B22" s="0" t="s">
        <v>3376</v>
      </c>
      <c r="C22" s="0" t="s">
        <v>3377</v>
      </c>
      <c r="D22" s="0" t="s">
        <v>3388</v>
      </c>
      <c r="E22" s="0" t="s">
        <v>3389</v>
      </c>
      <c r="F22" s="0" t="s">
        <v>3354</v>
      </c>
      <c r="G22" s="0" t="s">
        <v>1711</v>
      </c>
    </row>
    <row customHeight="1" ht="11.25">
      <c r="A23" s="999" t="s">
        <v>16</v>
      </c>
      <c r="B23" s="0" t="s">
        <v>3376</v>
      </c>
      <c r="C23" s="0" t="s">
        <v>3377</v>
      </c>
      <c r="D23" s="0" t="s">
        <v>3390</v>
      </c>
      <c r="E23" s="0" t="s">
        <v>3391</v>
      </c>
      <c r="F23" s="0" t="s">
        <v>3354</v>
      </c>
      <c r="G23" s="0" t="s">
        <v>1718</v>
      </c>
    </row>
    <row customHeight="1" ht="11.25">
      <c r="A24" s="999" t="s">
        <v>16</v>
      </c>
      <c r="B24" s="0" t="s">
        <v>3376</v>
      </c>
      <c r="C24" s="0" t="s">
        <v>3377</v>
      </c>
      <c r="D24" s="0" t="s">
        <v>3376</v>
      </c>
      <c r="E24" s="0" t="s">
        <v>3377</v>
      </c>
      <c r="F24" s="0" t="s">
        <v>3392</v>
      </c>
      <c r="G24" s="0" t="s">
        <v>1726</v>
      </c>
    </row>
    <row customHeight="1" ht="11.25">
      <c r="A25" s="999" t="s">
        <v>16</v>
      </c>
      <c r="B25" s="0" t="s">
        <v>3376</v>
      </c>
      <c r="C25" s="0" t="s">
        <v>3377</v>
      </c>
      <c r="D25" s="0" t="s">
        <v>3393</v>
      </c>
      <c r="E25" s="0" t="s">
        <v>3394</v>
      </c>
      <c r="F25" s="0" t="s">
        <v>3354</v>
      </c>
      <c r="G25" s="0" t="s">
        <v>1733</v>
      </c>
    </row>
    <row customHeight="1" ht="11.25">
      <c r="A26" s="999" t="s">
        <v>16</v>
      </c>
      <c r="B26" s="0" t="s">
        <v>3376</v>
      </c>
      <c r="C26" s="0" t="s">
        <v>3377</v>
      </c>
      <c r="D26" s="0" t="s">
        <v>3395</v>
      </c>
      <c r="E26" s="0" t="s">
        <v>3396</v>
      </c>
      <c r="F26" s="0" t="s">
        <v>3397</v>
      </c>
      <c r="G26" s="0" t="s">
        <v>1737</v>
      </c>
    </row>
    <row customHeight="1" ht="11.25">
      <c r="A27" s="999" t="s">
        <v>16</v>
      </c>
      <c r="B27" s="0" t="s">
        <v>3376</v>
      </c>
      <c r="C27" s="0" t="s">
        <v>3377</v>
      </c>
      <c r="D27" s="0" t="s">
        <v>3398</v>
      </c>
      <c r="E27" s="0" t="s">
        <v>3399</v>
      </c>
      <c r="F27" s="0" t="s">
        <v>3354</v>
      </c>
      <c r="G27" s="0" t="s">
        <v>1742</v>
      </c>
    </row>
    <row customHeight="1" ht="11.25">
      <c r="A28" s="999" t="s">
        <v>16</v>
      </c>
      <c r="B28" s="0" t="s">
        <v>3376</v>
      </c>
      <c r="C28" s="0" t="s">
        <v>3377</v>
      </c>
      <c r="D28" s="0" t="s">
        <v>3400</v>
      </c>
      <c r="E28" s="0" t="s">
        <v>3401</v>
      </c>
      <c r="F28" s="0" t="s">
        <v>3354</v>
      </c>
      <c r="G28" s="0" t="s">
        <v>1750</v>
      </c>
    </row>
    <row customHeight="1" ht="11.25">
      <c r="A29" s="999" t="s">
        <v>16</v>
      </c>
      <c r="B29" s="0" t="s">
        <v>3376</v>
      </c>
      <c r="C29" s="0" t="s">
        <v>3377</v>
      </c>
      <c r="D29" s="0" t="s">
        <v>3402</v>
      </c>
      <c r="E29" s="0" t="s">
        <v>3403</v>
      </c>
      <c r="F29" s="0" t="s">
        <v>3354</v>
      </c>
      <c r="G29" s="0" t="s">
        <v>1752</v>
      </c>
    </row>
    <row customHeight="1" ht="11.25">
      <c r="A30" s="999" t="s">
        <v>16</v>
      </c>
      <c r="B30" s="0" t="s">
        <v>3376</v>
      </c>
      <c r="C30" s="0" t="s">
        <v>3377</v>
      </c>
      <c r="D30" s="0" t="s">
        <v>3404</v>
      </c>
      <c r="E30" s="0" t="s">
        <v>3405</v>
      </c>
      <c r="F30" s="0" t="s">
        <v>3354</v>
      </c>
      <c r="G30" s="0" t="s">
        <v>1755</v>
      </c>
    </row>
    <row customHeight="1" ht="11.25">
      <c r="A31" s="999" t="s">
        <v>16</v>
      </c>
      <c r="B31" s="0" t="s">
        <v>3376</v>
      </c>
      <c r="C31" s="0" t="s">
        <v>3377</v>
      </c>
      <c r="D31" s="0" t="s">
        <v>3406</v>
      </c>
      <c r="E31" s="0" t="s">
        <v>3407</v>
      </c>
      <c r="F31" s="0" t="s">
        <v>3354</v>
      </c>
      <c r="G31" s="0" t="s">
        <v>1761</v>
      </c>
    </row>
    <row customHeight="1" ht="11.25">
      <c r="A32" s="999" t="s">
        <v>16</v>
      </c>
      <c r="B32" s="0" t="s">
        <v>3376</v>
      </c>
      <c r="C32" s="0" t="s">
        <v>3377</v>
      </c>
      <c r="D32" s="0" t="s">
        <v>3408</v>
      </c>
      <c r="E32" s="0" t="s">
        <v>3409</v>
      </c>
      <c r="F32" s="0" t="s">
        <v>3354</v>
      </c>
      <c r="G32" s="0" t="s">
        <v>1763</v>
      </c>
    </row>
    <row customHeight="1" ht="11.25">
      <c r="A33" s="999" t="s">
        <v>16</v>
      </c>
      <c r="B33" s="0" t="s">
        <v>3376</v>
      </c>
      <c r="C33" s="0" t="s">
        <v>3377</v>
      </c>
      <c r="D33" s="0" t="s">
        <v>3410</v>
      </c>
      <c r="E33" s="0" t="s">
        <v>3411</v>
      </c>
      <c r="F33" s="0" t="s">
        <v>3354</v>
      </c>
      <c r="G33" s="0" t="s">
        <v>1765</v>
      </c>
    </row>
    <row customHeight="1" ht="11.25">
      <c r="A34" s="999" t="s">
        <v>16</v>
      </c>
      <c r="B34" s="0" t="s">
        <v>3376</v>
      </c>
      <c r="C34" s="0" t="s">
        <v>3377</v>
      </c>
      <c r="D34" s="0" t="s">
        <v>3412</v>
      </c>
      <c r="E34" s="0" t="s">
        <v>3413</v>
      </c>
      <c r="F34" s="0" t="s">
        <v>3354</v>
      </c>
      <c r="G34" s="0" t="s">
        <v>1767</v>
      </c>
    </row>
    <row customHeight="1" ht="11.25">
      <c r="A35" s="999" t="s">
        <v>16</v>
      </c>
      <c r="B35" s="0" t="s">
        <v>3376</v>
      </c>
      <c r="C35" s="0" t="s">
        <v>3377</v>
      </c>
      <c r="D35" s="0" t="s">
        <v>3414</v>
      </c>
      <c r="E35" s="0" t="s">
        <v>3415</v>
      </c>
      <c r="F35" s="0" t="s">
        <v>3354</v>
      </c>
      <c r="G35" s="0" t="s">
        <v>1772</v>
      </c>
    </row>
    <row customHeight="1" ht="11.25">
      <c r="A36" s="999" t="s">
        <v>16</v>
      </c>
      <c r="B36" s="0" t="s">
        <v>3376</v>
      </c>
      <c r="C36" s="0" t="s">
        <v>3377</v>
      </c>
      <c r="D36" s="0" t="s">
        <v>3416</v>
      </c>
      <c r="E36" s="0" t="s">
        <v>3417</v>
      </c>
      <c r="F36" s="0" t="s">
        <v>3354</v>
      </c>
      <c r="G36" s="0" t="s">
        <v>1777</v>
      </c>
    </row>
    <row customHeight="1" ht="11.25">
      <c r="A37" s="999" t="s">
        <v>16</v>
      </c>
      <c r="B37" s="0" t="s">
        <v>3376</v>
      </c>
      <c r="C37" s="0" t="s">
        <v>3377</v>
      </c>
      <c r="D37" s="0" t="s">
        <v>3418</v>
      </c>
      <c r="E37" s="0" t="s">
        <v>3419</v>
      </c>
      <c r="F37" s="0" t="s">
        <v>3354</v>
      </c>
      <c r="G37" s="0" t="s">
        <v>1781</v>
      </c>
    </row>
    <row customHeight="1" ht="11.25">
      <c r="A38" s="999" t="s">
        <v>16</v>
      </c>
      <c r="B38" s="0" t="s">
        <v>3376</v>
      </c>
      <c r="C38" s="0" t="s">
        <v>3377</v>
      </c>
      <c r="D38" s="0" t="s">
        <v>3420</v>
      </c>
      <c r="E38" s="0" t="s">
        <v>3421</v>
      </c>
      <c r="F38" s="0" t="s">
        <v>3354</v>
      </c>
      <c r="G38" s="0" t="s">
        <v>1789</v>
      </c>
    </row>
    <row customHeight="1" ht="11.25">
      <c r="A39" s="999" t="s">
        <v>16</v>
      </c>
      <c r="B39" s="0" t="s">
        <v>3422</v>
      </c>
      <c r="C39" s="0" t="s">
        <v>3423</v>
      </c>
      <c r="D39" s="0" t="s">
        <v>3422</v>
      </c>
      <c r="E39" s="0" t="s">
        <v>3423</v>
      </c>
      <c r="F39" s="0" t="s">
        <v>3350</v>
      </c>
      <c r="G39" s="0" t="s">
        <v>1795</v>
      </c>
    </row>
    <row customHeight="1" ht="11.25">
      <c r="A40" s="999" t="s">
        <v>16</v>
      </c>
      <c r="B40" s="0" t="s">
        <v>3424</v>
      </c>
      <c r="C40" s="0" t="s">
        <v>3425</v>
      </c>
      <c r="D40" s="0" t="s">
        <v>3426</v>
      </c>
      <c r="E40" s="0" t="s">
        <v>3427</v>
      </c>
      <c r="F40" s="0" t="s">
        <v>3354</v>
      </c>
      <c r="G40" s="0" t="s">
        <v>1800</v>
      </c>
    </row>
    <row customHeight="1" ht="11.25">
      <c r="A41" s="999" t="s">
        <v>16</v>
      </c>
      <c r="B41" s="0" t="s">
        <v>3424</v>
      </c>
      <c r="C41" s="0" t="s">
        <v>3425</v>
      </c>
      <c r="D41" s="0" t="s">
        <v>3428</v>
      </c>
      <c r="E41" s="0" t="s">
        <v>3429</v>
      </c>
      <c r="F41" s="0" t="s">
        <v>3354</v>
      </c>
      <c r="G41" s="0" t="s">
        <v>1804</v>
      </c>
    </row>
    <row customHeight="1" ht="11.25">
      <c r="A42" s="999" t="s">
        <v>16</v>
      </c>
      <c r="B42" s="0" t="s">
        <v>3424</v>
      </c>
      <c r="C42" s="0" t="s">
        <v>3425</v>
      </c>
      <c r="D42" s="0" t="s">
        <v>3430</v>
      </c>
      <c r="E42" s="0" t="s">
        <v>3431</v>
      </c>
      <c r="F42" s="0" t="s">
        <v>3354</v>
      </c>
      <c r="G42" s="0" t="s">
        <v>1807</v>
      </c>
    </row>
    <row customHeight="1" ht="11.25">
      <c r="A43" s="999" t="s">
        <v>16</v>
      </c>
      <c r="B43" s="0" t="s">
        <v>3424</v>
      </c>
      <c r="C43" s="0" t="s">
        <v>3425</v>
      </c>
      <c r="D43" s="0" t="s">
        <v>3432</v>
      </c>
      <c r="E43" s="0" t="s">
        <v>3433</v>
      </c>
      <c r="F43" s="0" t="s">
        <v>3354</v>
      </c>
      <c r="G43" s="0" t="s">
        <v>1814</v>
      </c>
    </row>
    <row customHeight="1" ht="11.25">
      <c r="A44" s="999" t="s">
        <v>16</v>
      </c>
      <c r="B44" s="0" t="s">
        <v>3424</v>
      </c>
      <c r="C44" s="0" t="s">
        <v>3425</v>
      </c>
      <c r="D44" s="0" t="s">
        <v>3434</v>
      </c>
      <c r="E44" s="0" t="s">
        <v>3435</v>
      </c>
      <c r="F44" s="0" t="s">
        <v>3354</v>
      </c>
      <c r="G44" s="0" t="s">
        <v>1823</v>
      </c>
    </row>
    <row customHeight="1" ht="11.25">
      <c r="A45" s="999" t="s">
        <v>16</v>
      </c>
      <c r="B45" s="0" t="s">
        <v>3424</v>
      </c>
      <c r="C45" s="0" t="s">
        <v>3425</v>
      </c>
      <c r="D45" s="0" t="s">
        <v>3424</v>
      </c>
      <c r="E45" s="0" t="s">
        <v>3425</v>
      </c>
      <c r="F45" s="0" t="s">
        <v>3392</v>
      </c>
      <c r="G45" s="0" t="s">
        <v>1828</v>
      </c>
    </row>
    <row customHeight="1" ht="11.25">
      <c r="A46" s="999" t="s">
        <v>16</v>
      </c>
      <c r="B46" s="0" t="s">
        <v>3424</v>
      </c>
      <c r="C46" s="0" t="s">
        <v>3425</v>
      </c>
      <c r="D46" s="0" t="s">
        <v>3436</v>
      </c>
      <c r="E46" s="0" t="s">
        <v>3437</v>
      </c>
      <c r="F46" s="0" t="s">
        <v>3354</v>
      </c>
      <c r="G46" s="0" t="s">
        <v>1831</v>
      </c>
    </row>
    <row customHeight="1" ht="11.25">
      <c r="A47" s="999" t="s">
        <v>16</v>
      </c>
      <c r="B47" s="0" t="s">
        <v>3424</v>
      </c>
      <c r="C47" s="0" t="s">
        <v>3425</v>
      </c>
      <c r="D47" s="0" t="s">
        <v>3438</v>
      </c>
      <c r="E47" s="0" t="s">
        <v>3439</v>
      </c>
      <c r="F47" s="0" t="s">
        <v>3354</v>
      </c>
      <c r="G47" s="0" t="s">
        <v>1837</v>
      </c>
    </row>
    <row customHeight="1" ht="11.25">
      <c r="A48" s="999" t="s">
        <v>16</v>
      </c>
      <c r="B48" s="0" t="s">
        <v>3424</v>
      </c>
      <c r="C48" s="0" t="s">
        <v>3425</v>
      </c>
      <c r="D48" s="0" t="s">
        <v>3440</v>
      </c>
      <c r="E48" s="0" t="s">
        <v>3441</v>
      </c>
      <c r="F48" s="0" t="s">
        <v>3354</v>
      </c>
      <c r="G48" s="0" t="s">
        <v>1842</v>
      </c>
    </row>
    <row customHeight="1" ht="11.25">
      <c r="A49" s="999" t="s">
        <v>16</v>
      </c>
      <c r="B49" s="0" t="s">
        <v>3424</v>
      </c>
      <c r="C49" s="0" t="s">
        <v>3425</v>
      </c>
      <c r="D49" s="0" t="s">
        <v>3442</v>
      </c>
      <c r="E49" s="0" t="s">
        <v>3443</v>
      </c>
      <c r="F49" s="0" t="s">
        <v>3354</v>
      </c>
      <c r="G49" s="0" t="s">
        <v>1845</v>
      </c>
    </row>
    <row customHeight="1" ht="11.25">
      <c r="A50" s="999" t="s">
        <v>16</v>
      </c>
      <c r="B50" s="0" t="s">
        <v>3424</v>
      </c>
      <c r="C50" s="0" t="s">
        <v>3425</v>
      </c>
      <c r="D50" s="0" t="s">
        <v>3444</v>
      </c>
      <c r="E50" s="0" t="s">
        <v>3445</v>
      </c>
      <c r="F50" s="0" t="s">
        <v>3354</v>
      </c>
      <c r="G50" s="0" t="s">
        <v>1849</v>
      </c>
    </row>
    <row customHeight="1" ht="11.25">
      <c r="A51" s="999" t="s">
        <v>16</v>
      </c>
      <c r="B51" s="0" t="s">
        <v>3424</v>
      </c>
      <c r="C51" s="0" t="s">
        <v>3425</v>
      </c>
      <c r="D51" s="0" t="s">
        <v>3446</v>
      </c>
      <c r="E51" s="0" t="s">
        <v>3447</v>
      </c>
      <c r="F51" s="0" t="s">
        <v>3354</v>
      </c>
      <c r="G51" s="0" t="s">
        <v>1854</v>
      </c>
    </row>
    <row customHeight="1" ht="11.25">
      <c r="A52" s="999" t="s">
        <v>16</v>
      </c>
      <c r="B52" s="0" t="s">
        <v>3448</v>
      </c>
      <c r="C52" s="0" t="s">
        <v>3449</v>
      </c>
      <c r="D52" s="0" t="s">
        <v>3450</v>
      </c>
      <c r="E52" s="0" t="s">
        <v>3451</v>
      </c>
      <c r="F52" s="0" t="s">
        <v>3354</v>
      </c>
      <c r="G52" s="0" t="s">
        <v>1858</v>
      </c>
    </row>
    <row customHeight="1" ht="11.25">
      <c r="A53" s="999" t="s">
        <v>16</v>
      </c>
      <c r="B53" s="0" t="s">
        <v>3448</v>
      </c>
      <c r="C53" s="0" t="s">
        <v>3449</v>
      </c>
      <c r="D53" s="0" t="s">
        <v>3452</v>
      </c>
      <c r="E53" s="0" t="s">
        <v>3453</v>
      </c>
      <c r="F53" s="0" t="s">
        <v>3354</v>
      </c>
      <c r="G53" s="0" t="s">
        <v>1860</v>
      </c>
    </row>
    <row customHeight="1" ht="11.25">
      <c r="A54" s="999" t="s">
        <v>16</v>
      </c>
      <c r="B54" s="0" t="s">
        <v>3448</v>
      </c>
      <c r="C54" s="0" t="s">
        <v>3449</v>
      </c>
      <c r="D54" s="0" t="s">
        <v>3454</v>
      </c>
      <c r="E54" s="0" t="s">
        <v>3455</v>
      </c>
      <c r="F54" s="0" t="s">
        <v>3354</v>
      </c>
      <c r="G54" s="0" t="s">
        <v>1863</v>
      </c>
    </row>
    <row customHeight="1" ht="11.25">
      <c r="A55" s="999" t="s">
        <v>16</v>
      </c>
      <c r="B55" s="0" t="s">
        <v>3448</v>
      </c>
      <c r="C55" s="0" t="s">
        <v>3449</v>
      </c>
      <c r="D55" s="0" t="s">
        <v>3456</v>
      </c>
      <c r="E55" s="0" t="s">
        <v>3457</v>
      </c>
      <c r="F55" s="0" t="s">
        <v>3354</v>
      </c>
      <c r="G55" s="0" t="s">
        <v>1868</v>
      </c>
    </row>
    <row customHeight="1" ht="11.25">
      <c r="A56" s="999" t="s">
        <v>16</v>
      </c>
      <c r="B56" s="0" t="s">
        <v>3448</v>
      </c>
      <c r="C56" s="0" t="s">
        <v>3449</v>
      </c>
      <c r="D56" s="0" t="s">
        <v>3448</v>
      </c>
      <c r="E56" s="0" t="s">
        <v>3449</v>
      </c>
      <c r="F56" s="0" t="s">
        <v>3392</v>
      </c>
      <c r="G56" s="0" t="s">
        <v>1872</v>
      </c>
    </row>
    <row customHeight="1" ht="11.25">
      <c r="A57" s="999" t="s">
        <v>16</v>
      </c>
      <c r="B57" s="0" t="s">
        <v>3448</v>
      </c>
      <c r="C57" s="0" t="s">
        <v>3449</v>
      </c>
      <c r="D57" s="0" t="s">
        <v>3458</v>
      </c>
      <c r="E57" s="0" t="s">
        <v>3459</v>
      </c>
      <c r="F57" s="0" t="s">
        <v>3397</v>
      </c>
      <c r="G57" s="0" t="s">
        <v>1875</v>
      </c>
    </row>
    <row customHeight="1" ht="11.25">
      <c r="A58" s="999" t="s">
        <v>16</v>
      </c>
      <c r="B58" s="0" t="s">
        <v>3448</v>
      </c>
      <c r="C58" s="0" t="s">
        <v>3449</v>
      </c>
      <c r="D58" s="0" t="s">
        <v>3460</v>
      </c>
      <c r="E58" s="0" t="s">
        <v>3461</v>
      </c>
      <c r="F58" s="0" t="s">
        <v>3462</v>
      </c>
      <c r="G58" s="0" t="s">
        <v>1878</v>
      </c>
    </row>
    <row customHeight="1" ht="11.25">
      <c r="A59" s="999" t="s">
        <v>16</v>
      </c>
      <c r="B59" s="0" t="s">
        <v>3448</v>
      </c>
      <c r="C59" s="0" t="s">
        <v>3449</v>
      </c>
      <c r="D59" s="0" t="s">
        <v>3463</v>
      </c>
      <c r="E59" s="0" t="s">
        <v>3464</v>
      </c>
      <c r="F59" s="0" t="s">
        <v>3462</v>
      </c>
      <c r="G59" s="0" t="s">
        <v>1882</v>
      </c>
    </row>
    <row customHeight="1" ht="11.25">
      <c r="A60" s="999" t="s">
        <v>16</v>
      </c>
      <c r="B60" s="0" t="s">
        <v>3448</v>
      </c>
      <c r="C60" s="0" t="s">
        <v>3449</v>
      </c>
      <c r="D60" s="0" t="s">
        <v>3465</v>
      </c>
      <c r="E60" s="0" t="s">
        <v>3466</v>
      </c>
      <c r="F60" s="0" t="s">
        <v>3462</v>
      </c>
      <c r="G60" s="0" t="s">
        <v>1885</v>
      </c>
    </row>
    <row customHeight="1" ht="11.25">
      <c r="A61" s="999" t="s">
        <v>16</v>
      </c>
      <c r="B61" s="0" t="s">
        <v>3448</v>
      </c>
      <c r="C61" s="0" t="s">
        <v>3449</v>
      </c>
      <c r="D61" s="0" t="s">
        <v>3467</v>
      </c>
      <c r="E61" s="0" t="s">
        <v>3468</v>
      </c>
      <c r="F61" s="0" t="s">
        <v>3354</v>
      </c>
      <c r="G61" s="0" t="s">
        <v>3469</v>
      </c>
    </row>
    <row customHeight="1" ht="11.25">
      <c r="A62" s="999" t="s">
        <v>16</v>
      </c>
      <c r="B62" s="0" t="s">
        <v>3448</v>
      </c>
      <c r="C62" s="0" t="s">
        <v>3449</v>
      </c>
      <c r="D62" s="0" t="s">
        <v>3470</v>
      </c>
      <c r="E62" s="0" t="s">
        <v>3471</v>
      </c>
      <c r="F62" s="0" t="s">
        <v>3354</v>
      </c>
      <c r="G62" s="0" t="s">
        <v>3472</v>
      </c>
    </row>
    <row customHeight="1" ht="11.25">
      <c r="A63" s="999" t="s">
        <v>16</v>
      </c>
      <c r="B63" s="0" t="s">
        <v>3448</v>
      </c>
      <c r="C63" s="0" t="s">
        <v>3449</v>
      </c>
      <c r="D63" s="0" t="s">
        <v>3473</v>
      </c>
      <c r="E63" s="0" t="s">
        <v>3474</v>
      </c>
      <c r="F63" s="0" t="s">
        <v>3354</v>
      </c>
      <c r="G63" s="0" t="s">
        <v>3475</v>
      </c>
    </row>
    <row customHeight="1" ht="11.25">
      <c r="A64" s="999" t="s">
        <v>16</v>
      </c>
      <c r="B64" s="0" t="s">
        <v>3448</v>
      </c>
      <c r="C64" s="0" t="s">
        <v>3449</v>
      </c>
      <c r="D64" s="0" t="s">
        <v>3476</v>
      </c>
      <c r="E64" s="0" t="s">
        <v>3477</v>
      </c>
      <c r="F64" s="0" t="s">
        <v>3354</v>
      </c>
      <c r="G64" s="0" t="s">
        <v>3478</v>
      </c>
    </row>
    <row customHeight="1" ht="11.25">
      <c r="A65" s="999" t="s">
        <v>16</v>
      </c>
      <c r="B65" s="0" t="s">
        <v>3479</v>
      </c>
      <c r="C65" s="0" t="s">
        <v>3480</v>
      </c>
      <c r="D65" s="0" t="s">
        <v>3481</v>
      </c>
      <c r="E65" s="0" t="s">
        <v>3482</v>
      </c>
      <c r="F65" s="0" t="s">
        <v>3354</v>
      </c>
      <c r="G65" s="0" t="s">
        <v>3483</v>
      </c>
    </row>
    <row customHeight="1" ht="11.25">
      <c r="A66" s="999" t="s">
        <v>16</v>
      </c>
      <c r="B66" s="0" t="s">
        <v>3479</v>
      </c>
      <c r="C66" s="0" t="s">
        <v>3480</v>
      </c>
      <c r="D66" s="0" t="s">
        <v>3484</v>
      </c>
      <c r="E66" s="0" t="s">
        <v>3485</v>
      </c>
      <c r="F66" s="0" t="s">
        <v>3354</v>
      </c>
      <c r="G66" s="0" t="s">
        <v>3486</v>
      </c>
    </row>
    <row customHeight="1" ht="11.25">
      <c r="A67" s="999" t="s">
        <v>16</v>
      </c>
      <c r="B67" s="0" t="s">
        <v>3479</v>
      </c>
      <c r="C67" s="0" t="s">
        <v>3480</v>
      </c>
      <c r="D67" s="0" t="s">
        <v>3487</v>
      </c>
      <c r="E67" s="0" t="s">
        <v>3488</v>
      </c>
      <c r="F67" s="0" t="s">
        <v>3354</v>
      </c>
      <c r="G67" s="0" t="s">
        <v>2203</v>
      </c>
    </row>
    <row customHeight="1" ht="11.25">
      <c r="A68" s="999" t="s">
        <v>16</v>
      </c>
      <c r="B68" s="0" t="s">
        <v>3479</v>
      </c>
      <c r="C68" s="0" t="s">
        <v>3480</v>
      </c>
      <c r="D68" s="0" t="s">
        <v>3479</v>
      </c>
      <c r="E68" s="0" t="s">
        <v>3480</v>
      </c>
      <c r="F68" s="0" t="s">
        <v>3392</v>
      </c>
      <c r="G68" s="0" t="s">
        <v>3489</v>
      </c>
    </row>
    <row customHeight="1" ht="11.25">
      <c r="A69" s="999" t="s">
        <v>16</v>
      </c>
      <c r="B69" s="0" t="s">
        <v>3479</v>
      </c>
      <c r="C69" s="0" t="s">
        <v>3480</v>
      </c>
      <c r="D69" s="0" t="s">
        <v>3490</v>
      </c>
      <c r="E69" s="0" t="s">
        <v>3491</v>
      </c>
      <c r="F69" s="0" t="s">
        <v>3354</v>
      </c>
      <c r="G69" s="0" t="s">
        <v>2406</v>
      </c>
    </row>
    <row customHeight="1" ht="11.25">
      <c r="A70" s="999" t="s">
        <v>16</v>
      </c>
      <c r="B70" s="0" t="s">
        <v>3479</v>
      </c>
      <c r="C70" s="0" t="s">
        <v>3480</v>
      </c>
      <c r="D70" s="0" t="s">
        <v>3492</v>
      </c>
      <c r="E70" s="0" t="s">
        <v>3493</v>
      </c>
      <c r="F70" s="0" t="s">
        <v>3354</v>
      </c>
      <c r="G70" s="0" t="s">
        <v>3494</v>
      </c>
    </row>
    <row customHeight="1" ht="11.25">
      <c r="A71" s="999" t="s">
        <v>16</v>
      </c>
      <c r="B71" s="0" t="s">
        <v>3479</v>
      </c>
      <c r="C71" s="0" t="s">
        <v>3480</v>
      </c>
      <c r="D71" s="0" t="s">
        <v>3495</v>
      </c>
      <c r="E71" s="0" t="s">
        <v>3496</v>
      </c>
      <c r="F71" s="0" t="s">
        <v>3397</v>
      </c>
      <c r="G71" s="0" t="s">
        <v>3497</v>
      </c>
    </row>
    <row customHeight="1" ht="11.25">
      <c r="A72" s="999" t="s">
        <v>16</v>
      </c>
      <c r="B72" s="0" t="s">
        <v>3479</v>
      </c>
      <c r="C72" s="0" t="s">
        <v>3480</v>
      </c>
      <c r="D72" s="0" t="s">
        <v>3498</v>
      </c>
      <c r="E72" s="0" t="s">
        <v>3499</v>
      </c>
      <c r="F72" s="0" t="s">
        <v>3354</v>
      </c>
      <c r="G72" s="0" t="s">
        <v>3500</v>
      </c>
    </row>
    <row customHeight="1" ht="11.25">
      <c r="A73" s="999" t="s">
        <v>16</v>
      </c>
      <c r="B73" s="0" t="s">
        <v>3479</v>
      </c>
      <c r="C73" s="0" t="s">
        <v>3480</v>
      </c>
      <c r="D73" s="0" t="s">
        <v>3501</v>
      </c>
      <c r="E73" s="0" t="s">
        <v>3502</v>
      </c>
      <c r="F73" s="0" t="s">
        <v>3354</v>
      </c>
      <c r="G73" s="0" t="s">
        <v>3503</v>
      </c>
    </row>
    <row customHeight="1" ht="11.25">
      <c r="A74" s="999" t="s">
        <v>16</v>
      </c>
      <c r="B74" s="0" t="s">
        <v>3479</v>
      </c>
      <c r="C74" s="0" t="s">
        <v>3480</v>
      </c>
      <c r="D74" s="0" t="s">
        <v>3504</v>
      </c>
      <c r="E74" s="0" t="s">
        <v>3505</v>
      </c>
      <c r="F74" s="0" t="s">
        <v>3354</v>
      </c>
      <c r="G74" s="0" t="s">
        <v>3506</v>
      </c>
    </row>
    <row customHeight="1" ht="11.25">
      <c r="A75" s="999" t="s">
        <v>16</v>
      </c>
      <c r="B75" s="0" t="s">
        <v>3479</v>
      </c>
      <c r="C75" s="0" t="s">
        <v>3480</v>
      </c>
      <c r="D75" s="0" t="s">
        <v>3507</v>
      </c>
      <c r="E75" s="0" t="s">
        <v>3508</v>
      </c>
      <c r="F75" s="0" t="s">
        <v>3354</v>
      </c>
      <c r="G75" s="0" t="s">
        <v>3509</v>
      </c>
    </row>
    <row customHeight="1" ht="11.25">
      <c r="A76" s="999" t="s">
        <v>16</v>
      </c>
      <c r="B76" s="0" t="s">
        <v>3479</v>
      </c>
      <c r="C76" s="0" t="s">
        <v>3480</v>
      </c>
      <c r="D76" s="0" t="s">
        <v>3510</v>
      </c>
      <c r="E76" s="0" t="s">
        <v>3511</v>
      </c>
      <c r="F76" s="0" t="s">
        <v>3354</v>
      </c>
      <c r="G76" s="0" t="s">
        <v>3512</v>
      </c>
    </row>
    <row customHeight="1" ht="11.25">
      <c r="A77" s="999" t="s">
        <v>16</v>
      </c>
      <c r="B77" s="0" t="s">
        <v>3479</v>
      </c>
      <c r="C77" s="0" t="s">
        <v>3480</v>
      </c>
      <c r="D77" s="0" t="s">
        <v>3513</v>
      </c>
      <c r="E77" s="0" t="s">
        <v>3514</v>
      </c>
      <c r="F77" s="0" t="s">
        <v>3354</v>
      </c>
      <c r="G77" s="0" t="s">
        <v>3515</v>
      </c>
    </row>
    <row customHeight="1" ht="11.25">
      <c r="A78" s="999" t="s">
        <v>16</v>
      </c>
      <c r="B78" s="0" t="s">
        <v>3479</v>
      </c>
      <c r="C78" s="0" t="s">
        <v>3480</v>
      </c>
      <c r="D78" s="0" t="s">
        <v>3516</v>
      </c>
      <c r="E78" s="0" t="s">
        <v>3517</v>
      </c>
      <c r="F78" s="0" t="s">
        <v>3354</v>
      </c>
      <c r="G78" s="0" t="s">
        <v>3518</v>
      </c>
    </row>
    <row customHeight="1" ht="11.25">
      <c r="A79" s="999" t="s">
        <v>16</v>
      </c>
      <c r="B79" s="0" t="s">
        <v>3519</v>
      </c>
      <c r="C79" s="0" t="s">
        <v>3520</v>
      </c>
      <c r="D79" s="0" t="s">
        <v>3521</v>
      </c>
      <c r="E79" s="0" t="s">
        <v>3522</v>
      </c>
      <c r="F79" s="0" t="s">
        <v>3354</v>
      </c>
      <c r="G79" s="0" t="s">
        <v>3523</v>
      </c>
    </row>
    <row customHeight="1" ht="11.25">
      <c r="A80" s="999" t="s">
        <v>16</v>
      </c>
      <c r="B80" s="0" t="s">
        <v>3519</v>
      </c>
      <c r="C80" s="0" t="s">
        <v>3520</v>
      </c>
      <c r="D80" s="0" t="s">
        <v>3524</v>
      </c>
      <c r="E80" s="0" t="s">
        <v>3525</v>
      </c>
      <c r="F80" s="0" t="s">
        <v>3354</v>
      </c>
      <c r="G80" s="0" t="s">
        <v>3526</v>
      </c>
    </row>
    <row customHeight="1" ht="11.25">
      <c r="A81" s="999" t="s">
        <v>16</v>
      </c>
      <c r="B81" s="0" t="s">
        <v>3519</v>
      </c>
      <c r="C81" s="0" t="s">
        <v>3520</v>
      </c>
      <c r="D81" s="0" t="s">
        <v>3527</v>
      </c>
      <c r="E81" s="0" t="s">
        <v>3528</v>
      </c>
      <c r="F81" s="0" t="s">
        <v>3354</v>
      </c>
      <c r="G81" s="0" t="s">
        <v>3529</v>
      </c>
    </row>
    <row customHeight="1" ht="11.25">
      <c r="A82" s="999" t="s">
        <v>16</v>
      </c>
      <c r="B82" s="0" t="s">
        <v>3519</v>
      </c>
      <c r="C82" s="0" t="s">
        <v>3520</v>
      </c>
      <c r="D82" s="0" t="s">
        <v>3530</v>
      </c>
      <c r="E82" s="0" t="s">
        <v>3531</v>
      </c>
      <c r="F82" s="0" t="s">
        <v>3354</v>
      </c>
      <c r="G82" s="0" t="s">
        <v>3532</v>
      </c>
    </row>
    <row customHeight="1" ht="11.25">
      <c r="A83" s="999" t="s">
        <v>16</v>
      </c>
      <c r="B83" s="0" t="s">
        <v>3519</v>
      </c>
      <c r="C83" s="0" t="s">
        <v>3520</v>
      </c>
      <c r="D83" s="0" t="s">
        <v>3533</v>
      </c>
      <c r="E83" s="0" t="s">
        <v>3534</v>
      </c>
      <c r="F83" s="0" t="s">
        <v>3354</v>
      </c>
      <c r="G83" s="0" t="s">
        <v>3535</v>
      </c>
    </row>
    <row customHeight="1" ht="11.25">
      <c r="A84" s="999" t="s">
        <v>16</v>
      </c>
      <c r="B84" s="0" t="s">
        <v>3519</v>
      </c>
      <c r="C84" s="0" t="s">
        <v>3520</v>
      </c>
      <c r="D84" s="0" t="s">
        <v>3536</v>
      </c>
      <c r="E84" s="0" t="s">
        <v>3537</v>
      </c>
      <c r="F84" s="0" t="s">
        <v>3354</v>
      </c>
      <c r="G84" s="0" t="s">
        <v>3538</v>
      </c>
    </row>
    <row customHeight="1" ht="11.25">
      <c r="A85" s="999" t="s">
        <v>16</v>
      </c>
      <c r="B85" s="0" t="s">
        <v>3519</v>
      </c>
      <c r="C85" s="0" t="s">
        <v>3520</v>
      </c>
      <c r="D85" s="0" t="s">
        <v>3539</v>
      </c>
      <c r="E85" s="0" t="s">
        <v>3540</v>
      </c>
      <c r="F85" s="0" t="s">
        <v>3354</v>
      </c>
      <c r="G85" s="0" t="s">
        <v>3541</v>
      </c>
    </row>
    <row customHeight="1" ht="11.25">
      <c r="A86" s="999" t="s">
        <v>16</v>
      </c>
      <c r="B86" s="0" t="s">
        <v>3519</v>
      </c>
      <c r="C86" s="0" t="s">
        <v>3520</v>
      </c>
      <c r="D86" s="0" t="s">
        <v>3519</v>
      </c>
      <c r="E86" s="0" t="s">
        <v>3520</v>
      </c>
      <c r="F86" s="0" t="s">
        <v>3392</v>
      </c>
      <c r="G86" s="0" t="s">
        <v>3542</v>
      </c>
    </row>
    <row customHeight="1" ht="11.25">
      <c r="A87" s="999" t="s">
        <v>16</v>
      </c>
      <c r="B87" s="0" t="s">
        <v>3519</v>
      </c>
      <c r="C87" s="0" t="s">
        <v>3520</v>
      </c>
      <c r="D87" s="0" t="s">
        <v>3543</v>
      </c>
      <c r="E87" s="0" t="s">
        <v>3544</v>
      </c>
      <c r="F87" s="0" t="s">
        <v>3354</v>
      </c>
      <c r="G87" s="0" t="s">
        <v>3545</v>
      </c>
    </row>
    <row customHeight="1" ht="11.25">
      <c r="A88" s="999" t="s">
        <v>16</v>
      </c>
      <c r="B88" s="0" t="s">
        <v>3519</v>
      </c>
      <c r="C88" s="0" t="s">
        <v>3520</v>
      </c>
      <c r="D88" s="0" t="s">
        <v>3546</v>
      </c>
      <c r="E88" s="0" t="s">
        <v>3547</v>
      </c>
      <c r="F88" s="0" t="s">
        <v>3354</v>
      </c>
      <c r="G88" s="0" t="s">
        <v>3548</v>
      </c>
    </row>
    <row customHeight="1" ht="11.25">
      <c r="A89" s="999" t="s">
        <v>16</v>
      </c>
      <c r="B89" s="0" t="s">
        <v>3519</v>
      </c>
      <c r="C89" s="0" t="s">
        <v>3520</v>
      </c>
      <c r="D89" s="0" t="s">
        <v>3549</v>
      </c>
      <c r="E89" s="0" t="s">
        <v>3550</v>
      </c>
      <c r="F89" s="0" t="s">
        <v>3354</v>
      </c>
      <c r="G89" s="0" t="s">
        <v>3551</v>
      </c>
    </row>
    <row customHeight="1" ht="11.25">
      <c r="A90" s="999" t="s">
        <v>16</v>
      </c>
      <c r="B90" s="0" t="s">
        <v>3519</v>
      </c>
      <c r="C90" s="0" t="s">
        <v>3520</v>
      </c>
      <c r="D90" s="0" t="s">
        <v>3552</v>
      </c>
      <c r="E90" s="0" t="s">
        <v>3553</v>
      </c>
      <c r="F90" s="0" t="s">
        <v>3354</v>
      </c>
      <c r="G90" s="0" t="s">
        <v>3554</v>
      </c>
    </row>
    <row customHeight="1" ht="11.25">
      <c r="A91" s="999" t="s">
        <v>16</v>
      </c>
      <c r="B91" s="0" t="s">
        <v>3555</v>
      </c>
      <c r="C91" s="0" t="s">
        <v>3556</v>
      </c>
      <c r="D91" s="0" t="s">
        <v>3557</v>
      </c>
      <c r="E91" s="0" t="s">
        <v>3558</v>
      </c>
      <c r="F91" s="0" t="s">
        <v>3354</v>
      </c>
      <c r="G91" s="0" t="s">
        <v>3559</v>
      </c>
    </row>
    <row customHeight="1" ht="11.25">
      <c r="A92" s="999" t="s">
        <v>16</v>
      </c>
      <c r="B92" s="0" t="s">
        <v>3555</v>
      </c>
      <c r="C92" s="0" t="s">
        <v>3556</v>
      </c>
      <c r="D92" s="0" t="s">
        <v>3560</v>
      </c>
      <c r="E92" s="0" t="s">
        <v>3561</v>
      </c>
      <c r="F92" s="0" t="s">
        <v>3354</v>
      </c>
      <c r="G92" s="0" t="s">
        <v>3562</v>
      </c>
    </row>
    <row customHeight="1" ht="11.25">
      <c r="A93" s="999" t="s">
        <v>16</v>
      </c>
      <c r="B93" s="0" t="s">
        <v>3555</v>
      </c>
      <c r="C93" s="0" t="s">
        <v>3556</v>
      </c>
      <c r="D93" s="0" t="s">
        <v>3563</v>
      </c>
      <c r="E93" s="0" t="s">
        <v>3564</v>
      </c>
      <c r="F93" s="0" t="s">
        <v>3354</v>
      </c>
      <c r="G93" s="0" t="s">
        <v>3565</v>
      </c>
    </row>
    <row customHeight="1" ht="11.25">
      <c r="A94" s="999" t="s">
        <v>16</v>
      </c>
      <c r="B94" s="0" t="s">
        <v>3555</v>
      </c>
      <c r="C94" s="0" t="s">
        <v>3556</v>
      </c>
      <c r="D94" s="0" t="s">
        <v>3566</v>
      </c>
      <c r="E94" s="0" t="s">
        <v>3567</v>
      </c>
      <c r="F94" s="0" t="s">
        <v>3354</v>
      </c>
      <c r="G94" s="0" t="s">
        <v>3568</v>
      </c>
    </row>
    <row customHeight="1" ht="11.25">
      <c r="A95" s="999" t="s">
        <v>16</v>
      </c>
      <c r="B95" s="0" t="s">
        <v>3555</v>
      </c>
      <c r="C95" s="0" t="s">
        <v>3556</v>
      </c>
      <c r="D95" s="0" t="s">
        <v>3569</v>
      </c>
      <c r="E95" s="0" t="s">
        <v>3570</v>
      </c>
      <c r="F95" s="0" t="s">
        <v>3354</v>
      </c>
      <c r="G95" s="0" t="s">
        <v>3571</v>
      </c>
    </row>
    <row customHeight="1" ht="11.25">
      <c r="A96" s="999" t="s">
        <v>16</v>
      </c>
      <c r="B96" s="0" t="s">
        <v>3555</v>
      </c>
      <c r="C96" s="0" t="s">
        <v>3556</v>
      </c>
      <c r="D96" s="0" t="s">
        <v>3572</v>
      </c>
      <c r="E96" s="0" t="s">
        <v>3573</v>
      </c>
      <c r="F96" s="0" t="s">
        <v>3354</v>
      </c>
      <c r="G96" s="0" t="s">
        <v>3574</v>
      </c>
    </row>
    <row customHeight="1" ht="11.25">
      <c r="A97" s="999" t="s">
        <v>16</v>
      </c>
      <c r="B97" s="0" t="s">
        <v>3555</v>
      </c>
      <c r="C97" s="0" t="s">
        <v>3556</v>
      </c>
      <c r="D97" s="0" t="s">
        <v>3575</v>
      </c>
      <c r="E97" s="0" t="s">
        <v>3576</v>
      </c>
      <c r="F97" s="0" t="s">
        <v>3354</v>
      </c>
      <c r="G97" s="0" t="s">
        <v>3577</v>
      </c>
    </row>
    <row customHeight="1" ht="11.25">
      <c r="A98" s="999" t="s">
        <v>16</v>
      </c>
      <c r="B98" s="0" t="s">
        <v>3555</v>
      </c>
      <c r="C98" s="0" t="s">
        <v>3556</v>
      </c>
      <c r="D98" s="0" t="s">
        <v>3578</v>
      </c>
      <c r="E98" s="0" t="s">
        <v>3579</v>
      </c>
      <c r="F98" s="0" t="s">
        <v>3354</v>
      </c>
      <c r="G98" s="0" t="s">
        <v>3580</v>
      </c>
    </row>
    <row customHeight="1" ht="11.25">
      <c r="A99" s="999" t="s">
        <v>16</v>
      </c>
      <c r="B99" s="0" t="s">
        <v>3555</v>
      </c>
      <c r="C99" s="0" t="s">
        <v>3556</v>
      </c>
      <c r="D99" s="0" t="s">
        <v>3581</v>
      </c>
      <c r="E99" s="0" t="s">
        <v>3582</v>
      </c>
      <c r="F99" s="0" t="s">
        <v>3354</v>
      </c>
      <c r="G99" s="0" t="s">
        <v>3583</v>
      </c>
    </row>
    <row customHeight="1" ht="11.25">
      <c r="A100" s="999" t="s">
        <v>16</v>
      </c>
      <c r="B100" s="0" t="s">
        <v>3555</v>
      </c>
      <c r="C100" s="0" t="s">
        <v>3556</v>
      </c>
      <c r="D100" s="0" t="s">
        <v>3555</v>
      </c>
      <c r="E100" s="0" t="s">
        <v>3556</v>
      </c>
      <c r="F100" s="0" t="s">
        <v>3392</v>
      </c>
      <c r="G100" s="0" t="s">
        <v>3584</v>
      </c>
    </row>
    <row customHeight="1" ht="11.25">
      <c r="A101" s="999" t="s">
        <v>16</v>
      </c>
      <c r="B101" s="0" t="s">
        <v>3555</v>
      </c>
      <c r="C101" s="0" t="s">
        <v>3556</v>
      </c>
      <c r="D101" s="0" t="s">
        <v>3585</v>
      </c>
      <c r="E101" s="0" t="s">
        <v>3586</v>
      </c>
      <c r="F101" s="0" t="s">
        <v>3354</v>
      </c>
      <c r="G101" s="0" t="s">
        <v>3587</v>
      </c>
    </row>
    <row customHeight="1" ht="11.25">
      <c r="A102" s="999" t="s">
        <v>16</v>
      </c>
      <c r="B102" s="0" t="s">
        <v>3555</v>
      </c>
      <c r="C102" s="0" t="s">
        <v>3556</v>
      </c>
      <c r="D102" s="0" t="s">
        <v>3588</v>
      </c>
      <c r="E102" s="0" t="s">
        <v>3589</v>
      </c>
      <c r="F102" s="0" t="s">
        <v>3354</v>
      </c>
      <c r="G102" s="0" t="s">
        <v>3590</v>
      </c>
    </row>
    <row customHeight="1" ht="11.25">
      <c r="A103" s="999" t="s">
        <v>16</v>
      </c>
      <c r="B103" s="0" t="s">
        <v>3555</v>
      </c>
      <c r="C103" s="0" t="s">
        <v>3556</v>
      </c>
      <c r="D103" s="0" t="s">
        <v>3591</v>
      </c>
      <c r="E103" s="0" t="s">
        <v>3592</v>
      </c>
      <c r="F103" s="0" t="s">
        <v>3354</v>
      </c>
      <c r="G103" s="0" t="s">
        <v>3593</v>
      </c>
    </row>
    <row customHeight="1" ht="11.25">
      <c r="A104" s="999" t="s">
        <v>16</v>
      </c>
      <c r="B104" s="0" t="s">
        <v>3555</v>
      </c>
      <c r="C104" s="0" t="s">
        <v>3556</v>
      </c>
      <c r="D104" s="0" t="s">
        <v>3594</v>
      </c>
      <c r="E104" s="0" t="s">
        <v>3595</v>
      </c>
      <c r="F104" s="0" t="s">
        <v>3354</v>
      </c>
      <c r="G104" s="0" t="s">
        <v>3596</v>
      </c>
    </row>
    <row customHeight="1" ht="11.25">
      <c r="A105" s="999" t="s">
        <v>16</v>
      </c>
      <c r="B105" s="0" t="s">
        <v>106</v>
      </c>
      <c r="C105" s="0" t="s">
        <v>107</v>
      </c>
      <c r="D105" s="0" t="s">
        <v>106</v>
      </c>
      <c r="E105" s="0" t="s">
        <v>107</v>
      </c>
      <c r="F105" s="0" t="s">
        <v>3359</v>
      </c>
      <c r="G105" s="0" t="s">
        <v>105</v>
      </c>
    </row>
    <row customHeight="1" ht="11.25">
      <c r="A106" s="999" t="s">
        <v>16</v>
      </c>
      <c r="B106" s="0" t="s">
        <v>3597</v>
      </c>
      <c r="C106" s="0" t="s">
        <v>3598</v>
      </c>
      <c r="D106" s="0" t="s">
        <v>3597</v>
      </c>
      <c r="E106" s="0" t="s">
        <v>3598</v>
      </c>
      <c r="F106" s="0" t="s">
        <v>3350</v>
      </c>
      <c r="G106" s="0" t="s">
        <v>3599</v>
      </c>
    </row>
    <row customHeight="1" ht="11.25">
      <c r="A107" s="999" t="s">
        <v>16</v>
      </c>
      <c r="B107" s="0" t="s">
        <v>3600</v>
      </c>
      <c r="C107" s="0" t="s">
        <v>3601</v>
      </c>
      <c r="D107" s="0" t="s">
        <v>3484</v>
      </c>
      <c r="E107" s="0" t="s">
        <v>3602</v>
      </c>
      <c r="F107" s="0" t="s">
        <v>3354</v>
      </c>
      <c r="G107" s="0" t="s">
        <v>3603</v>
      </c>
    </row>
    <row customHeight="1" ht="11.25">
      <c r="A108" s="999" t="s">
        <v>16</v>
      </c>
      <c r="B108" s="0" t="s">
        <v>3600</v>
      </c>
      <c r="C108" s="0" t="s">
        <v>3601</v>
      </c>
      <c r="D108" s="0" t="s">
        <v>3604</v>
      </c>
      <c r="E108" s="0" t="s">
        <v>3605</v>
      </c>
      <c r="F108" s="0" t="s">
        <v>3354</v>
      </c>
      <c r="G108" s="0" t="s">
        <v>3606</v>
      </c>
    </row>
    <row customHeight="1" ht="11.25">
      <c r="A109" s="999" t="s">
        <v>16</v>
      </c>
      <c r="B109" s="0" t="s">
        <v>3600</v>
      </c>
      <c r="C109" s="0" t="s">
        <v>3601</v>
      </c>
      <c r="D109" s="0" t="s">
        <v>3607</v>
      </c>
      <c r="E109" s="0" t="s">
        <v>3608</v>
      </c>
      <c r="F109" s="0" t="s">
        <v>3354</v>
      </c>
      <c r="G109" s="0" t="s">
        <v>3609</v>
      </c>
    </row>
    <row customHeight="1" ht="11.25">
      <c r="A110" s="999" t="s">
        <v>16</v>
      </c>
      <c r="B110" s="0" t="s">
        <v>3600</v>
      </c>
      <c r="C110" s="0" t="s">
        <v>3601</v>
      </c>
      <c r="D110" s="0" t="s">
        <v>3610</v>
      </c>
      <c r="E110" s="0" t="s">
        <v>3611</v>
      </c>
      <c r="F110" s="0" t="s">
        <v>3354</v>
      </c>
      <c r="G110" s="0" t="s">
        <v>3612</v>
      </c>
    </row>
    <row customHeight="1" ht="11.25">
      <c r="A111" s="999" t="s">
        <v>16</v>
      </c>
      <c r="B111" s="0" t="s">
        <v>3600</v>
      </c>
      <c r="C111" s="0" t="s">
        <v>3601</v>
      </c>
      <c r="D111" s="0" t="s">
        <v>3613</v>
      </c>
      <c r="E111" s="0" t="s">
        <v>3614</v>
      </c>
      <c r="F111" s="0" t="s">
        <v>3354</v>
      </c>
      <c r="G111" s="0" t="s">
        <v>3615</v>
      </c>
    </row>
    <row customHeight="1" ht="11.25">
      <c r="A112" s="999" t="s">
        <v>16</v>
      </c>
      <c r="B112" s="0" t="s">
        <v>3600</v>
      </c>
      <c r="C112" s="0" t="s">
        <v>3601</v>
      </c>
      <c r="D112" s="0" t="s">
        <v>3616</v>
      </c>
      <c r="E112" s="0" t="s">
        <v>3617</v>
      </c>
      <c r="F112" s="0" t="s">
        <v>3354</v>
      </c>
      <c r="G112" s="0" t="s">
        <v>634</v>
      </c>
    </row>
    <row customHeight="1" ht="11.25">
      <c r="A113" s="999" t="s">
        <v>16</v>
      </c>
      <c r="B113" s="0" t="s">
        <v>3600</v>
      </c>
      <c r="C113" s="0" t="s">
        <v>3601</v>
      </c>
      <c r="D113" s="0" t="s">
        <v>3618</v>
      </c>
      <c r="E113" s="0" t="s">
        <v>3619</v>
      </c>
      <c r="F113" s="0" t="s">
        <v>3354</v>
      </c>
      <c r="G113" s="0" t="s">
        <v>3620</v>
      </c>
    </row>
    <row customHeight="1" ht="11.25">
      <c r="A114" s="999" t="s">
        <v>16</v>
      </c>
      <c r="B114" s="0" t="s">
        <v>3600</v>
      </c>
      <c r="C114" s="0" t="s">
        <v>3601</v>
      </c>
      <c r="D114" s="0" t="s">
        <v>3621</v>
      </c>
      <c r="E114" s="0" t="s">
        <v>3622</v>
      </c>
      <c r="F114" s="0" t="s">
        <v>3354</v>
      </c>
      <c r="G114" s="0" t="s">
        <v>3623</v>
      </c>
    </row>
    <row customHeight="1" ht="11.25">
      <c r="A115" s="999" t="s">
        <v>16</v>
      </c>
      <c r="B115" s="0" t="s">
        <v>3600</v>
      </c>
      <c r="C115" s="0" t="s">
        <v>3601</v>
      </c>
      <c r="D115" s="0" t="s">
        <v>3624</v>
      </c>
      <c r="E115" s="0" t="s">
        <v>3625</v>
      </c>
      <c r="F115" s="0" t="s">
        <v>3354</v>
      </c>
      <c r="G115" s="0" t="s">
        <v>3626</v>
      </c>
    </row>
    <row customHeight="1" ht="11.25">
      <c r="A116" s="999" t="s">
        <v>16</v>
      </c>
      <c r="B116" s="0" t="s">
        <v>3600</v>
      </c>
      <c r="C116" s="0" t="s">
        <v>3601</v>
      </c>
      <c r="D116" s="0" t="s">
        <v>3627</v>
      </c>
      <c r="E116" s="0" t="s">
        <v>3628</v>
      </c>
      <c r="F116" s="0" t="s">
        <v>3354</v>
      </c>
      <c r="G116" s="0" t="s">
        <v>3629</v>
      </c>
    </row>
    <row customHeight="1" ht="11.25">
      <c r="A117" s="999" t="s">
        <v>16</v>
      </c>
      <c r="B117" s="0" t="s">
        <v>3600</v>
      </c>
      <c r="C117" s="0" t="s">
        <v>3601</v>
      </c>
      <c r="D117" s="0" t="s">
        <v>3630</v>
      </c>
      <c r="E117" s="0" t="s">
        <v>3631</v>
      </c>
      <c r="F117" s="0" t="s">
        <v>3354</v>
      </c>
      <c r="G117" s="0" t="s">
        <v>3632</v>
      </c>
    </row>
    <row customHeight="1" ht="11.25">
      <c r="A118" s="999" t="s">
        <v>16</v>
      </c>
      <c r="B118" s="0" t="s">
        <v>3600</v>
      </c>
      <c r="C118" s="0" t="s">
        <v>3601</v>
      </c>
      <c r="D118" s="0" t="s">
        <v>3633</v>
      </c>
      <c r="E118" s="0" t="s">
        <v>3634</v>
      </c>
      <c r="F118" s="0" t="s">
        <v>3354</v>
      </c>
      <c r="G118" s="0" t="s">
        <v>3635</v>
      </c>
    </row>
    <row customHeight="1" ht="11.25">
      <c r="A119" s="999" t="s">
        <v>16</v>
      </c>
      <c r="B119" s="0" t="s">
        <v>3600</v>
      </c>
      <c r="C119" s="0" t="s">
        <v>3601</v>
      </c>
      <c r="D119" s="0" t="s">
        <v>3600</v>
      </c>
      <c r="E119" s="0" t="s">
        <v>3601</v>
      </c>
      <c r="F119" s="0" t="s">
        <v>3392</v>
      </c>
      <c r="G119" s="0" t="s">
        <v>3636</v>
      </c>
    </row>
    <row customHeight="1" ht="11.25">
      <c r="A120" s="999" t="s">
        <v>16</v>
      </c>
      <c r="B120" s="0" t="s">
        <v>3600</v>
      </c>
      <c r="C120" s="0" t="s">
        <v>3601</v>
      </c>
      <c r="D120" s="0" t="s">
        <v>3637</v>
      </c>
      <c r="E120" s="0" t="s">
        <v>3638</v>
      </c>
      <c r="F120" s="0" t="s">
        <v>3354</v>
      </c>
      <c r="G120" s="0" t="s">
        <v>3639</v>
      </c>
    </row>
    <row customHeight="1" ht="11.25">
      <c r="A121" s="999" t="s">
        <v>16</v>
      </c>
      <c r="B121" s="0" t="s">
        <v>3600</v>
      </c>
      <c r="C121" s="0" t="s">
        <v>3601</v>
      </c>
      <c r="D121" s="0" t="s">
        <v>3640</v>
      </c>
      <c r="E121" s="0" t="s">
        <v>3641</v>
      </c>
      <c r="F121" s="0" t="s">
        <v>3354</v>
      </c>
      <c r="G121" s="0" t="s">
        <v>3642</v>
      </c>
    </row>
    <row customHeight="1" ht="11.25">
      <c r="A122" s="999" t="s">
        <v>16</v>
      </c>
      <c r="B122" s="0" t="s">
        <v>3600</v>
      </c>
      <c r="C122" s="0" t="s">
        <v>3601</v>
      </c>
      <c r="D122" s="0" t="s">
        <v>3643</v>
      </c>
      <c r="E122" s="0" t="s">
        <v>3644</v>
      </c>
      <c r="F122" s="0" t="s">
        <v>3354</v>
      </c>
      <c r="G122" s="0" t="s">
        <v>3645</v>
      </c>
    </row>
    <row customHeight="1" ht="11.25">
      <c r="A123" s="999" t="s">
        <v>16</v>
      </c>
      <c r="B123" s="0" t="s">
        <v>3646</v>
      </c>
      <c r="C123" s="0" t="s">
        <v>3647</v>
      </c>
      <c r="D123" s="0" t="s">
        <v>3648</v>
      </c>
      <c r="E123" s="0" t="s">
        <v>3649</v>
      </c>
      <c r="F123" s="0" t="s">
        <v>3354</v>
      </c>
      <c r="G123" s="0" t="s">
        <v>3650</v>
      </c>
    </row>
    <row customHeight="1" ht="11.25">
      <c r="A124" s="999" t="s">
        <v>16</v>
      </c>
      <c r="B124" s="0" t="s">
        <v>3646</v>
      </c>
      <c r="C124" s="0" t="s">
        <v>3647</v>
      </c>
      <c r="D124" s="0" t="s">
        <v>3393</v>
      </c>
      <c r="E124" s="0" t="s">
        <v>3651</v>
      </c>
      <c r="F124" s="0" t="s">
        <v>3354</v>
      </c>
      <c r="G124" s="0" t="s">
        <v>3652</v>
      </c>
    </row>
    <row customHeight="1" ht="11.25">
      <c r="A125" s="999" t="s">
        <v>16</v>
      </c>
      <c r="B125" s="0" t="s">
        <v>3646</v>
      </c>
      <c r="C125" s="0" t="s">
        <v>3647</v>
      </c>
      <c r="D125" s="0" t="s">
        <v>3653</v>
      </c>
      <c r="E125" s="0" t="s">
        <v>3654</v>
      </c>
      <c r="F125" s="0" t="s">
        <v>3354</v>
      </c>
      <c r="G125" s="0" t="s">
        <v>3655</v>
      </c>
    </row>
    <row customHeight="1" ht="11.25">
      <c r="A126" s="999" t="s">
        <v>16</v>
      </c>
      <c r="B126" s="0" t="s">
        <v>3646</v>
      </c>
      <c r="C126" s="0" t="s">
        <v>3647</v>
      </c>
      <c r="D126" s="0" t="s">
        <v>3656</v>
      </c>
      <c r="E126" s="0" t="s">
        <v>3657</v>
      </c>
      <c r="F126" s="0" t="s">
        <v>3354</v>
      </c>
      <c r="G126" s="0" t="s">
        <v>3658</v>
      </c>
    </row>
    <row customHeight="1" ht="11.25">
      <c r="A127" s="999" t="s">
        <v>16</v>
      </c>
      <c r="B127" s="0" t="s">
        <v>3646</v>
      </c>
      <c r="C127" s="0" t="s">
        <v>3647</v>
      </c>
      <c r="D127" s="0" t="s">
        <v>3659</v>
      </c>
      <c r="E127" s="0" t="s">
        <v>3660</v>
      </c>
      <c r="F127" s="0" t="s">
        <v>3397</v>
      </c>
      <c r="G127" s="0" t="s">
        <v>3661</v>
      </c>
    </row>
    <row customHeight="1" ht="11.25">
      <c r="A128" s="999" t="s">
        <v>16</v>
      </c>
      <c r="B128" s="0" t="s">
        <v>3646</v>
      </c>
      <c r="C128" s="0" t="s">
        <v>3647</v>
      </c>
      <c r="D128" s="0" t="s">
        <v>3662</v>
      </c>
      <c r="E128" s="0" t="s">
        <v>3663</v>
      </c>
      <c r="F128" s="0" t="s">
        <v>3354</v>
      </c>
      <c r="G128" s="0" t="s">
        <v>3664</v>
      </c>
    </row>
    <row customHeight="1" ht="11.25">
      <c r="A129" s="999" t="s">
        <v>16</v>
      </c>
      <c r="B129" s="0" t="s">
        <v>3646</v>
      </c>
      <c r="C129" s="0" t="s">
        <v>3647</v>
      </c>
      <c r="D129" s="0" t="s">
        <v>3665</v>
      </c>
      <c r="E129" s="0" t="s">
        <v>3666</v>
      </c>
      <c r="F129" s="0" t="s">
        <v>3354</v>
      </c>
      <c r="G129" s="0" t="s">
        <v>3667</v>
      </c>
    </row>
    <row customHeight="1" ht="11.25">
      <c r="A130" s="999" t="s">
        <v>16</v>
      </c>
      <c r="B130" s="0" t="s">
        <v>3646</v>
      </c>
      <c r="C130" s="0" t="s">
        <v>3647</v>
      </c>
      <c r="D130" s="0" t="s">
        <v>3668</v>
      </c>
      <c r="E130" s="0" t="s">
        <v>3669</v>
      </c>
      <c r="F130" s="0" t="s">
        <v>3462</v>
      </c>
      <c r="G130" s="0" t="s">
        <v>3670</v>
      </c>
    </row>
    <row customHeight="1" ht="11.25">
      <c r="A131" s="999" t="s">
        <v>16</v>
      </c>
      <c r="B131" s="0" t="s">
        <v>3646</v>
      </c>
      <c r="C131" s="0" t="s">
        <v>3647</v>
      </c>
      <c r="D131" s="0" t="s">
        <v>3671</v>
      </c>
      <c r="E131" s="0" t="s">
        <v>3672</v>
      </c>
      <c r="F131" s="0" t="s">
        <v>3462</v>
      </c>
      <c r="G131" s="0" t="s">
        <v>3673</v>
      </c>
    </row>
    <row customHeight="1" ht="11.25">
      <c r="A132" s="999" t="s">
        <v>16</v>
      </c>
      <c r="B132" s="0" t="s">
        <v>3646</v>
      </c>
      <c r="C132" s="0" t="s">
        <v>3647</v>
      </c>
      <c r="D132" s="0" t="s">
        <v>3674</v>
      </c>
      <c r="E132" s="0" t="s">
        <v>3675</v>
      </c>
      <c r="F132" s="0" t="s">
        <v>3462</v>
      </c>
      <c r="G132" s="0" t="s">
        <v>3676</v>
      </c>
    </row>
    <row customHeight="1" ht="11.25">
      <c r="A133" s="999" t="s">
        <v>16</v>
      </c>
      <c r="B133" s="0" t="s">
        <v>3646</v>
      </c>
      <c r="C133" s="0" t="s">
        <v>3647</v>
      </c>
      <c r="D133" s="0" t="s">
        <v>3646</v>
      </c>
      <c r="E133" s="0" t="s">
        <v>3647</v>
      </c>
      <c r="F133" s="0" t="s">
        <v>3392</v>
      </c>
      <c r="G133" s="0" t="s">
        <v>3677</v>
      </c>
    </row>
    <row customHeight="1" ht="11.25">
      <c r="A134" s="999" t="s">
        <v>16</v>
      </c>
      <c r="B134" s="0" t="s">
        <v>3646</v>
      </c>
      <c r="C134" s="0" t="s">
        <v>3647</v>
      </c>
      <c r="D134" s="0" t="s">
        <v>3678</v>
      </c>
      <c r="E134" s="0" t="s">
        <v>3679</v>
      </c>
      <c r="F134" s="0" t="s">
        <v>3354</v>
      </c>
      <c r="G134" s="0" t="s">
        <v>3680</v>
      </c>
    </row>
    <row customHeight="1" ht="11.25">
      <c r="A135" s="999" t="s">
        <v>16</v>
      </c>
      <c r="B135" s="0" t="s">
        <v>3681</v>
      </c>
      <c r="C135" s="0" t="s">
        <v>3682</v>
      </c>
      <c r="D135" s="0" t="s">
        <v>3681</v>
      </c>
      <c r="E135" s="0" t="s">
        <v>3682</v>
      </c>
      <c r="F135" s="0" t="s">
        <v>3350</v>
      </c>
      <c r="G135" s="0" t="s">
        <v>3683</v>
      </c>
    </row>
    <row customHeight="1" ht="11.25">
      <c r="A136" s="999" t="s">
        <v>16</v>
      </c>
      <c r="B136" s="0" t="s">
        <v>3684</v>
      </c>
      <c r="C136" s="0" t="s">
        <v>3685</v>
      </c>
      <c r="D136" s="0" t="s">
        <v>3684</v>
      </c>
      <c r="E136" s="0" t="s">
        <v>3685</v>
      </c>
      <c r="F136" s="0" t="s">
        <v>3350</v>
      </c>
      <c r="G136" s="0" t="s">
        <v>3686</v>
      </c>
    </row>
    <row customHeight="1" ht="11.25">
      <c r="A137" s="999" t="s">
        <v>16</v>
      </c>
      <c r="B137" s="0" t="s">
        <v>3687</v>
      </c>
      <c r="C137" s="0" t="s">
        <v>3688</v>
      </c>
      <c r="D137" s="0" t="s">
        <v>3687</v>
      </c>
      <c r="E137" s="0" t="s">
        <v>3688</v>
      </c>
      <c r="F137" s="0" t="s">
        <v>3350</v>
      </c>
      <c r="G137" s="0" t="s">
        <v>3689</v>
      </c>
    </row>
    <row customHeight="1" ht="11.25">
      <c r="A138" s="999" t="s">
        <v>16</v>
      </c>
      <c r="B138" s="0" t="s">
        <v>3690</v>
      </c>
      <c r="C138" s="0" t="s">
        <v>3691</v>
      </c>
      <c r="D138" s="0" t="s">
        <v>3690</v>
      </c>
      <c r="E138" s="0" t="s">
        <v>3691</v>
      </c>
      <c r="F138" s="0" t="s">
        <v>3350</v>
      </c>
      <c r="G138" s="0" t="s">
        <v>3692</v>
      </c>
    </row>
    <row customHeight="1" ht="11.25">
      <c r="A139" s="999" t="s">
        <v>16</v>
      </c>
      <c r="B139" s="0" t="s">
        <v>3693</v>
      </c>
      <c r="C139" s="0" t="s">
        <v>3694</v>
      </c>
      <c r="D139" s="0" t="s">
        <v>3693</v>
      </c>
      <c r="E139" s="0" t="s">
        <v>3694</v>
      </c>
      <c r="F139" s="0" t="s">
        <v>3350</v>
      </c>
      <c r="G139" s="0" t="s">
        <v>3695</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14408E-3E0A-03C3-9063-8D313BBABC1F}"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37789" width="13.8515625" customWidth="1"/>
    <col min="2" max="2" style="37789" width="10.421875" customWidth="1"/>
    <col min="3" max="3" style="37789" width="7.57421875" customWidth="1"/>
    <col min="4" max="4" style="37789" width="13.8515625" customWidth="1"/>
    <col min="5" max="5" style="37789" width="11.57421875" customWidth="1"/>
    <col min="6" max="6" style="37789" width="16.28125" customWidth="1"/>
    <col min="7" max="7" style="37789" width="16.00390625" customWidth="1"/>
    <col min="8" max="9" style="37789" width="16.140625" customWidth="1"/>
  </cols>
  <sheetData>
    <row customHeight="1" ht="11.25">
      <c r="A1" s="1461" t="s">
        <v>3696</v>
      </c>
      <c r="B1" s="1461" t="s">
        <v>3697</v>
      </c>
      <c r="C1" s="1785" t="s">
        <v>3698</v>
      </c>
      <c r="D1" s="1461" t="s">
        <v>3699</v>
      </c>
      <c r="E1" s="1461" t="s">
        <v>3700</v>
      </c>
      <c r="F1" s="1785" t="s">
        <v>3701</v>
      </c>
      <c r="G1" s="1785" t="s">
        <v>3702</v>
      </c>
      <c r="H1" s="1785" t="s">
        <v>3703</v>
      </c>
      <c r="I1" s="1785" t="s">
        <v>3704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4CFBE7-013E-A6CD-AF56-4449ADF71CD3}"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DF335B-A40B-AD45-E09F-E999D0E2CB1F}"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34544" width="9.140625" hidden="1" customWidth="1"/>
    <col min="2" max="2" style="34580" width="9.140625" hidden="1" customWidth="1"/>
    <col min="3" max="3" style="34756" width="3.00390625" customWidth="1"/>
    <col min="4" max="4" style="34580" width="5.00390625" customWidth="1"/>
    <col min="5" max="5" style="34580" width="48.00390625" customWidth="1"/>
    <col min="6" max="6" style="34580" width="38.00390625" customWidth="1"/>
    <col min="7" max="7" style="34580" width="1.7109375" hidden="1" customWidth="1"/>
    <col min="8" max="11" style="34580" width="19.8515625" customWidth="1"/>
    <col min="12" max="12" style="34580" width="9.7109375" customWidth="1"/>
    <col min="13" max="18" style="34580" width="19.8515625" customWidth="1"/>
    <col min="19" max="19" style="34580" width="1.7109375" hidden="1" customWidth="1"/>
    <col min="20" max="22" style="34580" width="19.8515625" hidden="1" customWidth="1"/>
    <col min="23" max="23" style="34580" width="1.7109375" hidden="1" customWidth="1"/>
    <col min="24" max="26" style="34580" width="19.8515625" hidden="1" customWidth="1"/>
    <col min="27" max="27" style="34580" width="1.7109375" hidden="1" customWidth="1"/>
    <col min="28" max="29" style="34580" width="19.8515625" hidden="1" customWidth="1"/>
    <col min="30" max="30" style="34580" width="1.7109375" hidden="1" customWidth="1"/>
    <col min="31" max="31" style="34580" width="103.7109375" customWidth="1"/>
    <col min="32" max="34" style="34580" width="103.7109375" hidden="1" customWidth="1"/>
    <col min="35" max="35" style="34673" width="3.00390625" customWidth="1"/>
    <col min="36" max="38" style="34658" width="10.00390625" customWidth="1"/>
    <col min="39" max="39" style="34658" width="13.7109375" hidden="1" customWidth="1"/>
    <col min="40" max="40" style="34658" width="15.00390625" customWidth="1"/>
    <col min="41" max="41" style="34658" width="16.00390625" customWidth="1"/>
    <col min="42" max="45" style="34658" width="10.00390625" customWidth="1"/>
    <col min="46" max="46" style="34580" width="10.57421875" hidden="1"/>
  </cols>
  <sheetData>
    <row customHeight="1" ht="22.5" hidden="1">
      <c r="E1" s="1038"/>
      <c r="F1" s="1038"/>
      <c r="G1" s="1038"/>
      <c r="H1" s="2843" t="s">
        <v>370</v>
      </c>
      <c r="I1" s="2843"/>
      <c r="J1" s="2843"/>
      <c r="K1" s="2843"/>
      <c r="L1" s="2843"/>
      <c r="M1" s="2843"/>
      <c r="N1" s="2843"/>
      <c r="O1" s="2843"/>
      <c r="P1" s="2843"/>
      <c r="Q1" s="2843"/>
      <c r="R1" s="2843"/>
      <c r="T1" s="2843" t="s">
        <v>371</v>
      </c>
      <c r="U1" s="2843"/>
      <c r="V1" s="2843"/>
      <c r="X1" s="2843" t="s">
        <v>372</v>
      </c>
      <c r="Y1" s="2843"/>
      <c r="Z1" s="2843"/>
      <c r="AB1" s="2843" t="s">
        <v>373</v>
      </c>
      <c r="AC1" s="2843"/>
      <c r="AT1" s="1073" t="s">
        <v>14</v>
      </c>
    </row>
    <row customHeight="1" ht="14.25" hidden="1">
      <c r="AT2" s="1073">
        <v>0</v>
      </c>
    </row>
    <row s="35156" customFormat="1" customHeight="1" ht="5.25">
      <c r="C3" s="1327"/>
      <c r="D3" s="1328"/>
      <c r="E3" s="1328"/>
      <c r="F3" s="1328"/>
      <c r="G3" s="1328"/>
      <c r="H3" s="1328" t="s">
        <v>374</v>
      </c>
      <c r="I3" s="1328"/>
      <c r="J3" s="1328"/>
      <c r="K3" s="1328"/>
      <c r="L3" s="1328"/>
      <c r="M3" s="1328"/>
      <c r="N3" s="1328"/>
      <c r="O3" s="1328"/>
      <c r="P3" s="1328"/>
      <c r="Q3" s="1328"/>
      <c r="R3" s="1328"/>
      <c r="S3" s="1328"/>
      <c r="T3" s="1328"/>
      <c r="U3" s="1328"/>
      <c r="V3" s="1328"/>
      <c r="W3" s="1328"/>
      <c r="X3" s="1328"/>
      <c r="Y3" s="1328"/>
      <c r="Z3" s="1328"/>
      <c r="AA3" s="1328"/>
      <c r="AB3" s="1328"/>
      <c r="AC3" s="1328"/>
      <c r="AD3" s="1328"/>
      <c r="AE3" s="1328"/>
      <c r="AF3" s="1328"/>
      <c r="AG3" s="1328"/>
      <c r="AH3" s="1328"/>
      <c r="AJ3" s="1137"/>
      <c r="AK3" s="1137"/>
      <c r="AL3" s="1137"/>
      <c r="AM3" s="1137"/>
      <c r="AN3" s="1137"/>
      <c r="AO3" s="1137"/>
      <c r="AP3" s="1137"/>
      <c r="AQ3" s="1137"/>
      <c r="AR3" s="1137"/>
      <c r="AS3" s="1137"/>
      <c r="AT3" s="1326">
        <v>5</v>
      </c>
    </row>
    <row customHeight="1" ht="39.75">
      <c r="C4" s="1076"/>
      <c r="D4" s="278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784"/>
      <c r="F4" s="2784"/>
      <c r="G4" s="2784"/>
      <c r="H4" s="2784"/>
      <c r="I4" s="2784"/>
      <c r="J4" s="2784"/>
      <c r="K4" s="2784"/>
      <c r="L4" s="2784"/>
      <c r="M4" s="2784"/>
      <c r="N4" s="2784"/>
      <c r="O4" s="2784"/>
      <c r="P4" s="2784"/>
      <c r="Q4" s="2784"/>
      <c r="R4" s="2785"/>
      <c r="S4" s="1479"/>
      <c r="T4" s="1325"/>
      <c r="U4" s="1325"/>
      <c r="V4" s="1325"/>
      <c r="W4" s="1325"/>
      <c r="X4" s="1325"/>
      <c r="Y4" s="1325"/>
      <c r="Z4" s="1325"/>
      <c r="AA4" s="1325"/>
      <c r="AB4" s="1325"/>
      <c r="AC4" s="1325"/>
      <c r="AD4" s="1325"/>
      <c r="AE4" s="1117"/>
      <c r="AF4" s="1117"/>
      <c r="AG4" s="1117"/>
      <c r="AH4" s="1117"/>
      <c r="AI4" s="1114"/>
      <c r="AT4" s="1073">
        <v>38</v>
      </c>
    </row>
    <row s="34580" customFormat="1" customHeight="1" ht="18">
      <c r="A5" s="1385"/>
      <c r="C5" s="1448"/>
      <c r="D5" s="2840" t="str">
        <f>IF(org=0,"Не определено",org)</f>
        <v>АО "ДГК"</v>
      </c>
      <c r="E5" s="2841"/>
      <c r="F5" s="2841"/>
      <c r="G5" s="2841"/>
      <c r="H5" s="2841"/>
      <c r="I5" s="2841"/>
      <c r="J5" s="2841"/>
      <c r="K5" s="2841"/>
      <c r="L5" s="2841"/>
      <c r="M5" s="2841"/>
      <c r="N5" s="2841"/>
      <c r="O5" s="2841"/>
      <c r="P5" s="2841"/>
      <c r="Q5" s="2841"/>
      <c r="R5" s="2842"/>
      <c r="S5" s="1479"/>
      <c r="T5" s="1325"/>
      <c r="U5" s="1325"/>
      <c r="V5" s="1325"/>
      <c r="W5" s="1325"/>
      <c r="X5" s="1325"/>
      <c r="Y5" s="1325"/>
      <c r="Z5" s="1325"/>
      <c r="AA5" s="1325"/>
      <c r="AB5" s="1325"/>
      <c r="AC5" s="1325"/>
      <c r="AD5" s="1325"/>
      <c r="AE5" s="1117"/>
      <c r="AF5" s="1117"/>
      <c r="AG5" s="1117"/>
      <c r="AH5" s="1117"/>
      <c r="AI5" s="1114"/>
      <c r="AJ5" s="1137"/>
      <c r="AK5" s="1137"/>
      <c r="AL5" s="1137"/>
      <c r="AM5" s="1137"/>
      <c r="AN5" s="1137"/>
      <c r="AO5" s="1137"/>
      <c r="AP5" s="1137"/>
      <c r="AQ5" s="1137"/>
      <c r="AR5" s="1137"/>
      <c r="AS5" s="1137"/>
      <c r="AT5" s="1384">
        <v>17</v>
      </c>
    </row>
    <row s="34555" customFormat="1" customHeight="1" ht="11.549999999999999">
      <c r="A6" s="1105"/>
      <c r="C6" s="1112"/>
      <c r="D6" s="1111"/>
      <c r="E6" s="1111"/>
      <c r="F6" s="1111"/>
      <c r="G6" s="1111"/>
      <c r="H6" s="1111"/>
      <c r="I6" s="1111"/>
      <c r="J6" s="1111"/>
      <c r="K6" s="1111"/>
      <c r="L6" s="1111"/>
      <c r="M6" s="1111"/>
      <c r="N6" s="1111"/>
      <c r="O6" s="1111"/>
      <c r="P6" s="1111"/>
      <c r="Q6" s="1111"/>
      <c r="R6" s="1378"/>
      <c r="S6" s="1378"/>
      <c r="T6" s="1111"/>
      <c r="U6" s="1111"/>
      <c r="V6" s="1338"/>
      <c r="W6" s="1338"/>
      <c r="X6" s="1111"/>
      <c r="Y6" s="1111"/>
      <c r="Z6" s="1338"/>
      <c r="AA6" s="1338"/>
      <c r="AB6" s="1111"/>
      <c r="AC6" s="1338"/>
      <c r="AD6" s="1338"/>
      <c r="AE6" s="1111"/>
      <c r="AF6" s="1111"/>
      <c r="AG6" s="1111"/>
      <c r="AH6" s="1111"/>
      <c r="AJ6" s="1115"/>
      <c r="AK6" s="1115"/>
      <c r="AL6" s="1115"/>
      <c r="AM6" s="1115"/>
      <c r="AN6" s="1115"/>
      <c r="AO6" s="1115"/>
      <c r="AP6" s="1115"/>
      <c r="AQ6" s="1115"/>
      <c r="AR6" s="1115"/>
      <c r="AS6" s="1115"/>
      <c r="AT6" s="1106">
        <v>11</v>
      </c>
    </row>
    <row customHeight="1" ht="14.699999999999998">
      <c r="C7" s="1076"/>
      <c r="D7" s="2844" t="s">
        <v>318</v>
      </c>
      <c r="E7" s="2845"/>
      <c r="F7" s="2845"/>
      <c r="G7" s="2845"/>
      <c r="H7" s="2845"/>
      <c r="I7" s="2845"/>
      <c r="J7" s="2845"/>
      <c r="K7" s="2845"/>
      <c r="L7" s="2845"/>
      <c r="M7" s="2845"/>
      <c r="N7" s="2845"/>
      <c r="O7" s="2845"/>
      <c r="P7" s="2845"/>
      <c r="Q7" s="2845"/>
      <c r="R7" s="2845"/>
      <c r="S7" s="2845"/>
      <c r="T7" s="2845"/>
      <c r="U7" s="2845"/>
      <c r="V7" s="2845"/>
      <c r="W7" s="2845"/>
      <c r="X7" s="2845"/>
      <c r="Y7" s="2845"/>
      <c r="Z7" s="2845"/>
      <c r="AA7" s="2845"/>
      <c r="AB7" s="2845"/>
      <c r="AC7" s="2845"/>
      <c r="AD7" s="2846"/>
      <c r="AE7" s="2849" t="s">
        <v>319</v>
      </c>
      <c r="AF7" s="2849" t="s">
        <v>319</v>
      </c>
      <c r="AG7" s="2849" t="s">
        <v>319</v>
      </c>
      <c r="AH7" s="2849" t="s">
        <v>319</v>
      </c>
      <c r="AT7" s="1073">
        <v>14</v>
      </c>
    </row>
    <row customHeight="1" ht="27.299999999999997">
      <c r="C8" s="1076"/>
      <c r="D8" s="2753" t="s">
        <v>88</v>
      </c>
      <c r="E8" s="2849" t="str">
        <f>"Наименование "&amp;IF(TEMPLATE_SPHERE&lt;&gt;"HEAT","централизованной ","")&amp;"системы "&amp;TEMPLATE_SPHERE_RUS</f>
        <v>Наименование системы теплоснабжения</v>
      </c>
      <c r="F8" s="2849" t="str">
        <f>IF(TEMPLATE_SPHERE&lt;&gt;"HEAT","Регулируемый вид деятельности","Вид регулируемой деятельности")</f>
        <v>Вид регулируемой деятельности</v>
      </c>
      <c r="G8" s="1454"/>
      <c r="H8" s="2850" t="s">
        <v>375</v>
      </c>
      <c r="I8" s="2852" t="s">
        <v>376</v>
      </c>
      <c r="J8" s="2849" t="s">
        <v>377</v>
      </c>
      <c r="K8" s="2849"/>
      <c r="L8" s="2849"/>
      <c r="M8" s="2844"/>
      <c r="N8" s="2849" t="s">
        <v>378</v>
      </c>
      <c r="O8" s="2849"/>
      <c r="P8" s="2849" t="s">
        <v>379</v>
      </c>
      <c r="Q8" s="2849"/>
      <c r="R8" s="2856" t="s">
        <v>380</v>
      </c>
      <c r="S8" s="1450"/>
      <c r="T8" s="2854" t="s">
        <v>381</v>
      </c>
      <c r="U8" s="2854" t="s">
        <v>382</v>
      </c>
      <c r="V8" s="2854" t="s">
        <v>383</v>
      </c>
      <c r="W8" s="1452"/>
      <c r="X8" s="2854" t="s">
        <v>384</v>
      </c>
      <c r="Y8" s="2854" t="s">
        <v>385</v>
      </c>
      <c r="Z8" s="2854" t="s">
        <v>386</v>
      </c>
      <c r="AA8" s="1452"/>
      <c r="AB8" s="2854" t="s">
        <v>387</v>
      </c>
      <c r="AC8" s="2854" t="s">
        <v>380</v>
      </c>
      <c r="AD8" s="1452"/>
      <c r="AE8" s="2849"/>
      <c r="AF8" s="2849"/>
      <c r="AG8" s="2849"/>
      <c r="AH8" s="2849"/>
      <c r="AT8" s="1073">
        <v>26</v>
      </c>
    </row>
    <row customHeight="1" ht="46.199999999999996">
      <c r="C9" s="1076"/>
      <c r="D9" s="2753"/>
      <c r="E9" s="2849"/>
      <c r="F9" s="2849"/>
      <c r="G9" s="1455"/>
      <c r="H9" s="2851"/>
      <c r="I9" s="2853"/>
      <c r="J9" s="1051" t="s">
        <v>388</v>
      </c>
      <c r="K9" s="1051" t="s">
        <v>389</v>
      </c>
      <c r="L9" s="1051" t="s">
        <v>390</v>
      </c>
      <c r="M9" s="1057" t="s">
        <v>391</v>
      </c>
      <c r="N9" s="1051" t="s">
        <v>392</v>
      </c>
      <c r="O9" s="1051" t="s">
        <v>391</v>
      </c>
      <c r="P9" s="1051" t="s">
        <v>393</v>
      </c>
      <c r="Q9" s="1051" t="s">
        <v>391</v>
      </c>
      <c r="R9" s="2857"/>
      <c r="S9" s="1451"/>
      <c r="T9" s="2855"/>
      <c r="U9" s="2855"/>
      <c r="V9" s="2855"/>
      <c r="W9" s="1453"/>
      <c r="X9" s="2855"/>
      <c r="Y9" s="2855"/>
      <c r="Z9" s="2855"/>
      <c r="AA9" s="1453"/>
      <c r="AB9" s="2855"/>
      <c r="AC9" s="2855"/>
      <c r="AD9" s="1453"/>
      <c r="AE9" s="2849"/>
      <c r="AF9" s="2849"/>
      <c r="AG9" s="2849"/>
      <c r="AH9" s="2849"/>
      <c r="AT9" s="1073">
        <v>44</v>
      </c>
    </row>
    <row customHeight="1" ht="12" hidden="1">
      <c r="C10" s="1113"/>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3"/>
      <c r="AP10" s="1126"/>
      <c r="AQ10" s="1126"/>
      <c r="AT10" s="1073">
        <v>0</v>
      </c>
    </row>
    <row s="35197" customFormat="1" customHeight="1" ht="11.25" hidden="1">
      <c r="C11" s="1124"/>
      <c r="D11" s="1125" t="s">
        <v>394</v>
      </c>
      <c r="E11" s="1125"/>
      <c r="F11" s="1125"/>
      <c r="G11" s="1125"/>
      <c r="H11" s="1123"/>
      <c r="I11" s="1123"/>
      <c r="J11" s="1123"/>
      <c r="K11" s="1123"/>
      <c r="L11" s="1123"/>
      <c r="M11" s="1123"/>
      <c r="N11" s="1123"/>
      <c r="O11" s="1123"/>
      <c r="P11" s="1123"/>
      <c r="Q11" s="1123"/>
      <c r="R11" s="1123"/>
      <c r="S11" s="1123"/>
      <c r="T11" s="1123"/>
      <c r="U11" s="1123"/>
      <c r="V11" s="1123"/>
      <c r="W11" s="1123"/>
      <c r="X11" s="1123"/>
      <c r="Y11" s="1123"/>
      <c r="Z11" s="1123"/>
      <c r="AA11" s="1123"/>
      <c r="AB11" s="1123"/>
      <c r="AC11" s="1123"/>
      <c r="AD11" s="1123"/>
      <c r="AE11" s="1061"/>
      <c r="AF11" s="1061"/>
      <c r="AG11" s="1061"/>
      <c r="AH11" s="1061"/>
      <c r="AJ11" s="1115"/>
      <c r="AK11" s="1115"/>
      <c r="AL11" s="1115"/>
      <c r="AM11" s="1115"/>
      <c r="AN11" s="1115"/>
      <c r="AO11" s="1115"/>
      <c r="AP11" s="1115"/>
      <c r="AQ11" s="1115"/>
      <c r="AR11" s="1115"/>
      <c r="AS11" s="1115"/>
      <c r="AT11" s="1122">
        <v>0</v>
      </c>
    </row>
    <row customHeight="1" ht="14.699999999999998">
      <c r="A12" s="1073"/>
      <c r="C12" s="1076"/>
      <c r="D12" s="1060" t="s">
        <v>118</v>
      </c>
      <c r="E12" s="2403" t="s">
        <v>22</v>
      </c>
      <c r="F12" s="1481"/>
      <c r="G12" s="1482"/>
      <c r="H12" s="2404"/>
      <c r="I12" s="2404"/>
      <c r="J12" s="1059"/>
      <c r="K12" s="2489"/>
      <c r="L12" s="1058"/>
      <c r="M12" s="2489"/>
      <c r="N12" s="1059"/>
      <c r="O12" s="2489"/>
      <c r="P12" s="1059"/>
      <c r="Q12" s="2489"/>
      <c r="R12" s="1059"/>
      <c r="S12" s="1480"/>
      <c r="T12" s="2404"/>
      <c r="U12" s="1059"/>
      <c r="V12" s="1059"/>
      <c r="W12" s="1453"/>
      <c r="X12" s="2404"/>
      <c r="Y12" s="1059"/>
      <c r="Z12" s="1059"/>
      <c r="AA12" s="1453"/>
      <c r="AB12" s="2404"/>
      <c r="AC12" s="1059"/>
      <c r="AD12" s="1453"/>
      <c r="AE12" s="2847" t="s">
        <v>395</v>
      </c>
      <c r="AF12" s="2847" t="s">
        <v>396</v>
      </c>
      <c r="AG12" s="2847" t="s">
        <v>397</v>
      </c>
      <c r="AH12" s="2847" t="s">
        <v>398</v>
      </c>
      <c r="AI12" s="1073"/>
      <c r="AM12" s="1137"/>
      <c r="AP12" s="1126" t="s">
        <v>399</v>
      </c>
      <c r="AQ12" s="1126" t="s">
        <v>399</v>
      </c>
      <c r="AT12" s="1073">
        <v>14</v>
      </c>
    </row>
    <row customHeight="1" ht="18">
      <c r="A13" s="1073"/>
      <c r="C13" s="1076"/>
      <c r="D13" s="1031"/>
      <c r="E13" s="1495" t="str">
        <f>IF(TITLE_DIFFERENTIATION_TYPE="нет","","Добавить систему")</f>
        <v/>
      </c>
      <c r="F13" s="1495" t="str">
        <f>IF(TITLE_DIFFERENTIATION_TYPE="нет","Добавить вид деятельности","")</f>
        <v>Добавить вид деятельности</v>
      </c>
      <c r="G13" s="939"/>
      <c r="H13" s="1032"/>
      <c r="I13" s="1032"/>
      <c r="J13" s="1032"/>
      <c r="K13" s="1032"/>
      <c r="L13" s="1032"/>
      <c r="M13" s="1032"/>
      <c r="N13" s="1032"/>
      <c r="O13" s="1032"/>
      <c r="P13" s="1032"/>
      <c r="Q13" s="1032"/>
      <c r="R13" s="1032"/>
      <c r="S13" s="1032"/>
      <c r="T13" s="1032"/>
      <c r="U13" s="1032"/>
      <c r="V13" s="1032"/>
      <c r="W13" s="1032"/>
      <c r="X13" s="1032"/>
      <c r="Y13" s="1032"/>
      <c r="Z13" s="1032"/>
      <c r="AA13" s="1032"/>
      <c r="AB13" s="1032"/>
      <c r="AC13" s="1032"/>
      <c r="AD13" s="1483"/>
      <c r="AE13" s="2848"/>
      <c r="AF13" s="2848"/>
      <c r="AG13" s="2848"/>
      <c r="AH13" s="2848"/>
      <c r="AI13" s="1073"/>
      <c r="AT13" s="1073">
        <v>17</v>
      </c>
    </row>
    <row customHeight="1" ht="14.699999999999998">
      <c r="AI14" s="1073"/>
      <c r="AT14" s="1073">
        <v>14</v>
      </c>
    </row>
    <row customHeight="1" ht="14.699999999999998">
      <c r="E15" s="1384"/>
      <c r="L15" s="1384"/>
      <c r="AT15" s="1073">
        <v>14</v>
      </c>
    </row>
    <row customHeight="1" ht="14.699999999999998">
      <c r="L16" s="1384"/>
      <c r="AT16" s="1073">
        <v>14</v>
      </c>
    </row>
    <row customHeight="1" ht="14.699999999999998">
      <c r="L17" s="1384"/>
      <c r="AT17" s="1073">
        <v>14</v>
      </c>
    </row>
    <row customHeight="1" ht="22.5" hidden="1">
      <c r="A18" s="1075" t="s">
        <v>82</v>
      </c>
      <c r="B18" s="1073">
        <v>0</v>
      </c>
      <c r="C18" s="1077">
        <v>3</v>
      </c>
      <c r="D18" s="1073">
        <v>5</v>
      </c>
      <c r="E18" s="1073">
        <v>48</v>
      </c>
      <c r="F18" s="1073">
        <v>38</v>
      </c>
      <c r="G18" s="1384">
        <v>0</v>
      </c>
      <c r="H18" s="1073">
        <v>0</v>
      </c>
      <c r="I18" s="1073">
        <v>0</v>
      </c>
      <c r="J18" s="1073">
        <v>0</v>
      </c>
      <c r="K18" s="1073">
        <v>0</v>
      </c>
      <c r="L18" s="1073">
        <v>0</v>
      </c>
      <c r="M18" s="1073">
        <v>0</v>
      </c>
      <c r="N18" s="1073">
        <v>0</v>
      </c>
      <c r="O18" s="1073">
        <v>0</v>
      </c>
      <c r="P18" s="1073">
        <v>0</v>
      </c>
      <c r="Q18" s="1073">
        <v>0</v>
      </c>
      <c r="R18" s="1073">
        <v>0</v>
      </c>
      <c r="S18" s="1384">
        <v>0</v>
      </c>
      <c r="T18" s="1131">
        <v>0</v>
      </c>
      <c r="U18" s="1131">
        <v>0</v>
      </c>
      <c r="V18" s="1131">
        <v>0</v>
      </c>
      <c r="W18" s="1384">
        <v>0</v>
      </c>
      <c r="X18" s="1131">
        <v>0</v>
      </c>
      <c r="Y18" s="1131">
        <v>0</v>
      </c>
      <c r="Z18" s="1131">
        <v>0</v>
      </c>
      <c r="AA18" s="1384">
        <v>0</v>
      </c>
      <c r="AB18" s="1131">
        <v>0</v>
      </c>
      <c r="AC18" s="1131">
        <v>0</v>
      </c>
      <c r="AD18" s="1384">
        <v>0</v>
      </c>
      <c r="AE18" s="1073">
        <v>0</v>
      </c>
      <c r="AF18" s="1131">
        <v>0</v>
      </c>
      <c r="AG18" s="1131">
        <v>0</v>
      </c>
      <c r="AH18" s="1131">
        <v>0</v>
      </c>
      <c r="AI18" s="1078">
        <v>3</v>
      </c>
      <c r="AJ18" s="1115">
        <v>10</v>
      </c>
      <c r="AK18" s="1115">
        <v>10</v>
      </c>
      <c r="AL18" s="1115">
        <v>10</v>
      </c>
      <c r="AM18" s="1115">
        <v>0</v>
      </c>
      <c r="AN18" s="1115">
        <v>15</v>
      </c>
      <c r="AO18" s="1115">
        <v>16</v>
      </c>
      <c r="AP18" s="1115">
        <v>10</v>
      </c>
      <c r="AQ18" s="1115">
        <v>10</v>
      </c>
      <c r="AR18" s="1115">
        <v>10</v>
      </c>
      <c r="AS18" s="1115">
        <v>10</v>
      </c>
      <c r="AT18" s="1073">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740833-CB2E-0C5B-FB06-AA8C0671108D}"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37792" width="9.140625"/>
  </cols>
  <sheetData>
    <row customHeight="1" ht="11.25">
      <c r="A1" s="809" t="s">
        <v>150</v>
      </c>
      <c r="B1" s="809" t="s">
        <v>3705</v>
      </c>
    </row>
    <row customHeight="1" ht="11.25">
      <c r="A2" s="5949" t="s">
        <v>98</v>
      </c>
      <c r="B2" s="5949" t="s">
        <v>3706</v>
      </c>
    </row>
    <row customHeight="1" ht="11.25">
      <c r="A3" s="5949" t="s">
        <v>104</v>
      </c>
      <c r="B3" s="5949" t="s">
        <v>3707</v>
      </c>
    </row>
    <row customHeight="1" ht="11.25">
      <c r="A4" s="5949" t="s">
        <v>108</v>
      </c>
      <c r="B4" s="5949" t="s">
        <v>3708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DF733B-B56B-D9CC-4D02-B30FEF936EB1}"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7789" width="9.140625"/>
    <col min="2" max="2" style="37789" width="65.28125" customWidth="1"/>
  </cols>
  <sheetData>
    <row customHeight="1" ht="11.25">
      <c r="A1" s="1461" t="s">
        <v>3709</v>
      </c>
      <c r="B1" s="1461" t="s">
        <v>3710</v>
      </c>
    </row>
    <row customHeight="1" ht="11.25">
      <c r="A2" s="1461">
        <v>4213775</v>
      </c>
      <c r="B2" s="1461" t="s">
        <v>1401</v>
      </c>
    </row>
    <row customHeight="1" ht="11.25">
      <c r="A3" s="1461">
        <v>4213784</v>
      </c>
      <c r="B3" s="1461" t="s">
        <v>1434</v>
      </c>
    </row>
    <row customHeight="1" ht="11.25">
      <c r="A4" s="1461">
        <v>4213781</v>
      </c>
      <c r="B4" s="1461" t="s">
        <v>1427</v>
      </c>
    </row>
    <row customHeight="1" ht="11.25">
      <c r="A5" s="1461">
        <v>4213776</v>
      </c>
      <c r="B5" s="1461" t="s">
        <v>186</v>
      </c>
    </row>
    <row customHeight="1" ht="11.25">
      <c r="A6" s="1461">
        <v>4213777</v>
      </c>
      <c r="B6" s="1461" t="s">
        <v>192</v>
      </c>
    </row>
    <row customHeight="1" ht="11.25">
      <c r="A7" s="1461">
        <v>4213778</v>
      </c>
      <c r="B7" s="1461" t="s">
        <v>198</v>
      </c>
    </row>
    <row customHeight="1" ht="11.25">
      <c r="A8" s="1461">
        <v>4213780</v>
      </c>
      <c r="B8" s="1461" t="s">
        <v>204</v>
      </c>
    </row>
    <row customHeight="1" ht="11.25">
      <c r="A9" s="1461">
        <v>4213779</v>
      </c>
      <c r="B9" s="1461" t="s">
        <v>1567</v>
      </c>
    </row>
    <row customHeight="1" ht="11.25">
      <c r="A10" s="1461">
        <v>4213783</v>
      </c>
      <c r="B10" s="1461" t="s">
        <v>1582</v>
      </c>
    </row>
    <row customHeight="1" ht="11.25">
      <c r="A11" s="1461">
        <v>4213782</v>
      </c>
      <c r="B11" s="1461" t="s">
        <v>210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F07241-15C5-C243-681B-5F2B3A89E59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7789" width="9.140625"/>
    <col min="2" max="2" style="37789" width="65.28125" customWidth="1"/>
  </cols>
  <sheetData>
    <row customHeight="1" ht="11.25">
      <c r="A1" s="1461" t="s">
        <v>3709</v>
      </c>
      <c r="B1" s="1461" t="s">
        <v>3711</v>
      </c>
    </row>
    <row customHeight="1" ht="11.25">
      <c r="A2" s="1461" t="s">
        <v>135</v>
      </c>
      <c r="B2" s="1461" t="s">
        <v>1680</v>
      </c>
    </row>
    <row customHeight="1" ht="11.25">
      <c r="A3" s="1461" t="s">
        <v>3712</v>
      </c>
      <c r="B3" s="1461" t="s">
        <v>1690</v>
      </c>
    </row>
    <row customHeight="1" ht="11.25">
      <c r="A4" s="1461" t="s">
        <v>140</v>
      </c>
      <c r="B4" s="1461" t="s">
        <v>1699</v>
      </c>
    </row>
    <row customHeight="1" ht="11.25">
      <c r="A5" s="1461" t="s">
        <v>3713</v>
      </c>
      <c r="B5" s="1461" t="s">
        <v>1708</v>
      </c>
    </row>
    <row customHeight="1" ht="11.25">
      <c r="A6" s="1461" t="s">
        <v>3714</v>
      </c>
      <c r="B6" s="1461" t="s">
        <v>1714</v>
      </c>
    </row>
    <row customHeight="1" ht="11.25">
      <c r="A7" s="1461" t="s">
        <v>3715</v>
      </c>
      <c r="B7" s="1461" t="s">
        <v>1722</v>
      </c>
    </row>
    <row customHeight="1" ht="11.25">
      <c r="A8" s="1461" t="s">
        <v>3716</v>
      </c>
      <c r="B8" s="1461" t="s">
        <v>1729</v>
      </c>
    </row>
    <row customHeight="1" ht="11.25">
      <c r="A9" s="1461" t="s">
        <v>3717</v>
      </c>
      <c r="B9" s="1461" t="s">
        <v>1735</v>
      </c>
    </row>
    <row customHeight="1" ht="11.25">
      <c r="A10" s="1461" t="s">
        <v>3718</v>
      </c>
      <c r="B10" s="1461" t="s">
        <v>1739</v>
      </c>
    </row>
    <row customHeight="1" ht="11.25">
      <c r="A11" s="1461" t="s">
        <v>3719</v>
      </c>
      <c r="B11" s="1461" t="s">
        <v>1746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68CB8F-C238-7443-743C-DC8B0765343C}" mc:Ignorable="x14ac xr xr2 xr3">
  <sheetPr>
    <tabColor rgb="FFFFCC99"/>
  </sheetPr>
  <dimension ref="A1:G139"/>
  <sheetViews>
    <sheetView topLeftCell="A1" showGridLines="0" workbookViewId="0">
      <selection activeCell="A1" sqref="A1"/>
    </sheetView>
  </sheetViews>
  <sheetFormatPr customHeight="1" defaultRowHeight="11.25"/>
  <sheetData>
    <row customHeight="1" ht="11.25">
      <c r="A1" s="999" t="s">
        <v>3341</v>
      </c>
      <c r="B1" s="999" t="s">
        <v>3342</v>
      </c>
      <c r="C1" s="999" t="s">
        <v>3343</v>
      </c>
      <c r="D1" s="999" t="s">
        <v>3344</v>
      </c>
      <c r="E1" s="0" t="s">
        <v>3345</v>
      </c>
      <c r="F1" s="0" t="s">
        <v>3346</v>
      </c>
      <c r="G1" s="0" t="s">
        <v>3347</v>
      </c>
    </row>
    <row customHeight="1" ht="11.25">
      <c r="A2" s="0" t="s">
        <v>16</v>
      </c>
      <c r="B2" s="0" t="s">
        <v>3348</v>
      </c>
      <c r="C2" s="0" t="s">
        <v>3349</v>
      </c>
      <c r="D2" s="0" t="s">
        <v>3348</v>
      </c>
      <c r="E2" s="0" t="s">
        <v>3349</v>
      </c>
      <c r="F2" s="0" t="s">
        <v>3350</v>
      </c>
      <c r="G2" s="0" t="s">
        <v>118</v>
      </c>
    </row>
    <row customHeight="1" ht="11.25">
      <c r="A3" s="0" t="s">
        <v>16</v>
      </c>
      <c r="B3" s="0" t="s">
        <v>3351</v>
      </c>
      <c r="C3" s="0" t="s">
        <v>3352</v>
      </c>
      <c r="D3" s="0" t="s">
        <v>3351</v>
      </c>
      <c r="E3" s="0" t="s">
        <v>3352</v>
      </c>
      <c r="F3" s="0" t="s">
        <v>3350</v>
      </c>
      <c r="G3" s="0" t="s">
        <v>102</v>
      </c>
    </row>
    <row customHeight="1" ht="11.25">
      <c r="A4" s="0" t="s">
        <v>16</v>
      </c>
      <c r="B4" s="0" t="s">
        <v>109</v>
      </c>
      <c r="C4" s="0" t="s">
        <v>3353</v>
      </c>
      <c r="D4" s="0" t="s">
        <v>109</v>
      </c>
      <c r="E4" s="0" t="s">
        <v>3353</v>
      </c>
      <c r="F4" s="0" t="s">
        <v>3350</v>
      </c>
      <c r="G4" s="0" t="s">
        <v>90</v>
      </c>
    </row>
    <row customHeight="1" ht="11.25">
      <c r="A5" s="0" t="s">
        <v>16</v>
      </c>
      <c r="B5" s="0" t="s">
        <v>109</v>
      </c>
      <c r="C5" s="0" t="s">
        <v>3353</v>
      </c>
      <c r="D5" s="0" t="s">
        <v>110</v>
      </c>
      <c r="E5" s="0" t="s">
        <v>111</v>
      </c>
      <c r="F5" s="0" t="s">
        <v>3354</v>
      </c>
      <c r="G5" s="0" t="s">
        <v>91</v>
      </c>
    </row>
    <row customHeight="1" ht="11.25">
      <c r="A6" s="0" t="s">
        <v>16</v>
      </c>
      <c r="B6" s="0" t="s">
        <v>3355</v>
      </c>
      <c r="C6" s="0" t="s">
        <v>3356</v>
      </c>
      <c r="D6" s="0" t="s">
        <v>3355</v>
      </c>
      <c r="E6" s="0" t="s">
        <v>3356</v>
      </c>
      <c r="F6" s="0" t="s">
        <v>3350</v>
      </c>
      <c r="G6" s="0" t="s">
        <v>119</v>
      </c>
    </row>
    <row customHeight="1" ht="11.25">
      <c r="A7" s="0" t="s">
        <v>16</v>
      </c>
      <c r="B7" s="0" t="s">
        <v>3357</v>
      </c>
      <c r="C7" s="0" t="s">
        <v>3358</v>
      </c>
      <c r="D7" s="0" t="s">
        <v>3357</v>
      </c>
      <c r="E7" s="0" t="s">
        <v>3358</v>
      </c>
      <c r="F7" s="0" t="s">
        <v>3359</v>
      </c>
      <c r="G7" s="0" t="s">
        <v>92</v>
      </c>
    </row>
    <row customHeight="1" ht="11.25">
      <c r="A8" s="0" t="s">
        <v>16</v>
      </c>
      <c r="B8" s="0" t="s">
        <v>99</v>
      </c>
      <c r="C8" s="0" t="s">
        <v>100</v>
      </c>
      <c r="D8" s="0" t="s">
        <v>99</v>
      </c>
      <c r="E8" s="0" t="s">
        <v>100</v>
      </c>
      <c r="F8" s="0" t="s">
        <v>3359</v>
      </c>
      <c r="G8" s="0" t="s">
        <v>93</v>
      </c>
    </row>
    <row customHeight="1" ht="11.25">
      <c r="A9" s="0" t="s">
        <v>16</v>
      </c>
      <c r="B9" s="0" t="s">
        <v>3360</v>
      </c>
      <c r="C9" s="0" t="s">
        <v>3361</v>
      </c>
      <c r="D9" s="0" t="s">
        <v>3360</v>
      </c>
      <c r="E9" s="0" t="s">
        <v>3361</v>
      </c>
      <c r="F9" s="0" t="s">
        <v>3359</v>
      </c>
      <c r="G9" s="0" t="s">
        <v>120</v>
      </c>
    </row>
    <row customHeight="1" ht="11.25">
      <c r="A10" s="0" t="s">
        <v>16</v>
      </c>
      <c r="B10" s="0" t="s">
        <v>3362</v>
      </c>
      <c r="C10" s="0" t="s">
        <v>3363</v>
      </c>
      <c r="D10" s="0" t="s">
        <v>3362</v>
      </c>
      <c r="E10" s="0" t="s">
        <v>3363</v>
      </c>
      <c r="F10" s="0" t="s">
        <v>3359</v>
      </c>
      <c r="G10" s="0" t="s">
        <v>168</v>
      </c>
    </row>
    <row customHeight="1" ht="11.25">
      <c r="A11" s="0" t="s">
        <v>16</v>
      </c>
      <c r="B11" s="0" t="s">
        <v>3364</v>
      </c>
      <c r="C11" s="0" t="s">
        <v>3365</v>
      </c>
      <c r="D11" s="0" t="s">
        <v>3364</v>
      </c>
      <c r="E11" s="0" t="s">
        <v>3365</v>
      </c>
      <c r="F11" s="0" t="s">
        <v>3359</v>
      </c>
      <c r="G11" s="0" t="s">
        <v>169</v>
      </c>
    </row>
    <row customHeight="1" ht="11.25">
      <c r="A12" s="0" t="s">
        <v>16</v>
      </c>
      <c r="B12" s="0" t="s">
        <v>3366</v>
      </c>
      <c r="C12" s="0" t="s">
        <v>3367</v>
      </c>
      <c r="D12" s="0" t="s">
        <v>3366</v>
      </c>
      <c r="E12" s="0" t="s">
        <v>3367</v>
      </c>
      <c r="F12" s="0" t="s">
        <v>3359</v>
      </c>
      <c r="G12" s="0" t="s">
        <v>170</v>
      </c>
    </row>
    <row customHeight="1" ht="11.25">
      <c r="A13" s="0" t="s">
        <v>16</v>
      </c>
      <c r="B13" s="0" t="s">
        <v>3368</v>
      </c>
      <c r="C13" s="0" t="s">
        <v>3369</v>
      </c>
      <c r="D13" s="0" t="s">
        <v>3368</v>
      </c>
      <c r="E13" s="0" t="s">
        <v>3369</v>
      </c>
      <c r="F13" s="0" t="s">
        <v>3359</v>
      </c>
      <c r="G13" s="0" t="s">
        <v>171</v>
      </c>
    </row>
    <row customHeight="1" ht="11.25">
      <c r="A14" s="0" t="s">
        <v>16</v>
      </c>
      <c r="B14" s="0" t="s">
        <v>3370</v>
      </c>
      <c r="C14" s="0" t="s">
        <v>3371</v>
      </c>
      <c r="D14" s="0" t="s">
        <v>3370</v>
      </c>
      <c r="E14" s="0" t="s">
        <v>3371</v>
      </c>
      <c r="F14" s="0" t="s">
        <v>3359</v>
      </c>
      <c r="G14" s="0" t="s">
        <v>172</v>
      </c>
    </row>
    <row customHeight="1" ht="11.25">
      <c r="A15" s="0" t="s">
        <v>16</v>
      </c>
      <c r="B15" s="0" t="s">
        <v>3372</v>
      </c>
      <c r="C15" s="0" t="s">
        <v>3373</v>
      </c>
      <c r="D15" s="0" t="s">
        <v>3372</v>
      </c>
      <c r="E15" s="0" t="s">
        <v>3373</v>
      </c>
      <c r="F15" s="0" t="s">
        <v>3350</v>
      </c>
      <c r="G15" s="0" t="s">
        <v>173</v>
      </c>
    </row>
    <row customHeight="1" ht="11.25">
      <c r="A16" s="0" t="s">
        <v>16</v>
      </c>
      <c r="B16" s="0" t="s">
        <v>3374</v>
      </c>
      <c r="C16" s="0" t="s">
        <v>3375</v>
      </c>
      <c r="D16" s="0" t="s">
        <v>3374</v>
      </c>
      <c r="E16" s="0" t="s">
        <v>3375</v>
      </c>
      <c r="F16" s="0" t="s">
        <v>3350</v>
      </c>
      <c r="G16" s="0" t="s">
        <v>1642</v>
      </c>
    </row>
    <row customHeight="1" ht="11.25">
      <c r="A17" s="0" t="s">
        <v>16</v>
      </c>
      <c r="B17" s="0" t="s">
        <v>3376</v>
      </c>
      <c r="C17" s="0" t="s">
        <v>3377</v>
      </c>
      <c r="D17" s="0" t="s">
        <v>3378</v>
      </c>
      <c r="E17" s="0" t="s">
        <v>3379</v>
      </c>
      <c r="F17" s="0" t="s">
        <v>3354</v>
      </c>
      <c r="G17" s="0" t="s">
        <v>1648</v>
      </c>
    </row>
    <row customHeight="1" ht="11.25">
      <c r="A18" s="0" t="s">
        <v>16</v>
      </c>
      <c r="B18" s="0" t="s">
        <v>3376</v>
      </c>
      <c r="C18" s="0" t="s">
        <v>3377</v>
      </c>
      <c r="D18" s="0" t="s">
        <v>3380</v>
      </c>
      <c r="E18" s="0" t="s">
        <v>3381</v>
      </c>
      <c r="F18" s="0" t="s">
        <v>3354</v>
      </c>
      <c r="G18" s="0" t="s">
        <v>1660</v>
      </c>
    </row>
    <row customHeight="1" ht="11.25">
      <c r="A19" s="0" t="s">
        <v>16</v>
      </c>
      <c r="B19" s="0" t="s">
        <v>3376</v>
      </c>
      <c r="C19" s="0" t="s">
        <v>3377</v>
      </c>
      <c r="D19" s="0" t="s">
        <v>3382</v>
      </c>
      <c r="E19" s="0" t="s">
        <v>3383</v>
      </c>
      <c r="F19" s="0" t="s">
        <v>3354</v>
      </c>
      <c r="G19" s="0" t="s">
        <v>1674</v>
      </c>
    </row>
    <row customHeight="1" ht="11.25">
      <c r="A20" s="0" t="s">
        <v>16</v>
      </c>
      <c r="B20" s="0" t="s">
        <v>3376</v>
      </c>
      <c r="C20" s="0" t="s">
        <v>3377</v>
      </c>
      <c r="D20" s="0" t="s">
        <v>3384</v>
      </c>
      <c r="E20" s="0" t="s">
        <v>3385</v>
      </c>
      <c r="F20" s="0" t="s">
        <v>3354</v>
      </c>
      <c r="G20" s="0" t="s">
        <v>1686</v>
      </c>
    </row>
    <row customHeight="1" ht="11.25">
      <c r="A21" s="0" t="s">
        <v>16</v>
      </c>
      <c r="B21" s="0" t="s">
        <v>3376</v>
      </c>
      <c r="C21" s="0" t="s">
        <v>3377</v>
      </c>
      <c r="D21" s="0" t="s">
        <v>3386</v>
      </c>
      <c r="E21" s="0" t="s">
        <v>3387</v>
      </c>
      <c r="F21" s="0" t="s">
        <v>3354</v>
      </c>
      <c r="G21" s="0" t="s">
        <v>1695</v>
      </c>
    </row>
    <row customHeight="1" ht="11.25">
      <c r="A22" s="0" t="s">
        <v>16</v>
      </c>
      <c r="B22" s="0" t="s">
        <v>3376</v>
      </c>
      <c r="C22" s="0" t="s">
        <v>3377</v>
      </c>
      <c r="D22" s="0" t="s">
        <v>3388</v>
      </c>
      <c r="E22" s="0" t="s">
        <v>3389</v>
      </c>
      <c r="F22" s="0" t="s">
        <v>3354</v>
      </c>
      <c r="G22" s="0" t="s">
        <v>1711</v>
      </c>
    </row>
    <row customHeight="1" ht="11.25">
      <c r="A23" s="0" t="s">
        <v>16</v>
      </c>
      <c r="B23" s="0" t="s">
        <v>3376</v>
      </c>
      <c r="C23" s="0" t="s">
        <v>3377</v>
      </c>
      <c r="D23" s="0" t="s">
        <v>3390</v>
      </c>
      <c r="E23" s="0" t="s">
        <v>3391</v>
      </c>
      <c r="F23" s="0" t="s">
        <v>3354</v>
      </c>
      <c r="G23" s="0" t="s">
        <v>1718</v>
      </c>
    </row>
    <row customHeight="1" ht="11.25">
      <c r="A24" s="0" t="s">
        <v>16</v>
      </c>
      <c r="B24" s="0" t="s">
        <v>3376</v>
      </c>
      <c r="C24" s="0" t="s">
        <v>3377</v>
      </c>
      <c r="D24" s="0" t="s">
        <v>3376</v>
      </c>
      <c r="E24" s="0" t="s">
        <v>3377</v>
      </c>
      <c r="F24" s="0" t="s">
        <v>3392</v>
      </c>
      <c r="G24" s="0" t="s">
        <v>1726</v>
      </c>
    </row>
    <row customHeight="1" ht="11.25">
      <c r="A25" s="0" t="s">
        <v>16</v>
      </c>
      <c r="B25" s="0" t="s">
        <v>3376</v>
      </c>
      <c r="C25" s="0" t="s">
        <v>3377</v>
      </c>
      <c r="D25" s="0" t="s">
        <v>3393</v>
      </c>
      <c r="E25" s="0" t="s">
        <v>3394</v>
      </c>
      <c r="F25" s="0" t="s">
        <v>3354</v>
      </c>
      <c r="G25" s="0" t="s">
        <v>1733</v>
      </c>
    </row>
    <row customHeight="1" ht="11.25">
      <c r="A26" s="0" t="s">
        <v>16</v>
      </c>
      <c r="B26" s="0" t="s">
        <v>3376</v>
      </c>
      <c r="C26" s="0" t="s">
        <v>3377</v>
      </c>
      <c r="D26" s="0" t="s">
        <v>3395</v>
      </c>
      <c r="E26" s="0" t="s">
        <v>3396</v>
      </c>
      <c r="F26" s="0" t="s">
        <v>3397</v>
      </c>
      <c r="G26" s="0" t="s">
        <v>1737</v>
      </c>
    </row>
    <row customHeight="1" ht="11.25">
      <c r="A27" s="0" t="s">
        <v>16</v>
      </c>
      <c r="B27" s="0" t="s">
        <v>3376</v>
      </c>
      <c r="C27" s="0" t="s">
        <v>3377</v>
      </c>
      <c r="D27" s="0" t="s">
        <v>3398</v>
      </c>
      <c r="E27" s="0" t="s">
        <v>3399</v>
      </c>
      <c r="F27" s="0" t="s">
        <v>3354</v>
      </c>
      <c r="G27" s="0" t="s">
        <v>1742</v>
      </c>
    </row>
    <row customHeight="1" ht="11.25">
      <c r="A28" s="0" t="s">
        <v>16</v>
      </c>
      <c r="B28" s="0" t="s">
        <v>3376</v>
      </c>
      <c r="C28" s="0" t="s">
        <v>3377</v>
      </c>
      <c r="D28" s="0" t="s">
        <v>3400</v>
      </c>
      <c r="E28" s="0" t="s">
        <v>3401</v>
      </c>
      <c r="F28" s="0" t="s">
        <v>3354</v>
      </c>
      <c r="G28" s="0" t="s">
        <v>1750</v>
      </c>
    </row>
    <row customHeight="1" ht="11.25">
      <c r="A29" s="0" t="s">
        <v>16</v>
      </c>
      <c r="B29" s="0" t="s">
        <v>3376</v>
      </c>
      <c r="C29" s="0" t="s">
        <v>3377</v>
      </c>
      <c r="D29" s="0" t="s">
        <v>3402</v>
      </c>
      <c r="E29" s="0" t="s">
        <v>3403</v>
      </c>
      <c r="F29" s="0" t="s">
        <v>3354</v>
      </c>
      <c r="G29" s="0" t="s">
        <v>1752</v>
      </c>
    </row>
    <row customHeight="1" ht="11.25">
      <c r="A30" s="0" t="s">
        <v>16</v>
      </c>
      <c r="B30" s="0" t="s">
        <v>3376</v>
      </c>
      <c r="C30" s="0" t="s">
        <v>3377</v>
      </c>
      <c r="D30" s="0" t="s">
        <v>3404</v>
      </c>
      <c r="E30" s="0" t="s">
        <v>3405</v>
      </c>
      <c r="F30" s="0" t="s">
        <v>3354</v>
      </c>
      <c r="G30" s="0" t="s">
        <v>1755</v>
      </c>
    </row>
    <row customHeight="1" ht="11.25">
      <c r="A31" s="0" t="s">
        <v>16</v>
      </c>
      <c r="B31" s="0" t="s">
        <v>3376</v>
      </c>
      <c r="C31" s="0" t="s">
        <v>3377</v>
      </c>
      <c r="D31" s="0" t="s">
        <v>3406</v>
      </c>
      <c r="E31" s="0" t="s">
        <v>3407</v>
      </c>
      <c r="F31" s="0" t="s">
        <v>3354</v>
      </c>
      <c r="G31" s="0" t="s">
        <v>1761</v>
      </c>
    </row>
    <row customHeight="1" ht="11.25">
      <c r="A32" s="0" t="s">
        <v>16</v>
      </c>
      <c r="B32" s="0" t="s">
        <v>3376</v>
      </c>
      <c r="C32" s="0" t="s">
        <v>3377</v>
      </c>
      <c r="D32" s="0" t="s">
        <v>3408</v>
      </c>
      <c r="E32" s="0" t="s">
        <v>3409</v>
      </c>
      <c r="F32" s="0" t="s">
        <v>3354</v>
      </c>
      <c r="G32" s="0" t="s">
        <v>1763</v>
      </c>
    </row>
    <row customHeight="1" ht="11.25">
      <c r="A33" s="0" t="s">
        <v>16</v>
      </c>
      <c r="B33" s="0" t="s">
        <v>3376</v>
      </c>
      <c r="C33" s="0" t="s">
        <v>3377</v>
      </c>
      <c r="D33" s="0" t="s">
        <v>3410</v>
      </c>
      <c r="E33" s="0" t="s">
        <v>3411</v>
      </c>
      <c r="F33" s="0" t="s">
        <v>3354</v>
      </c>
      <c r="G33" s="0" t="s">
        <v>1765</v>
      </c>
    </row>
    <row customHeight="1" ht="11.25">
      <c r="A34" s="0" t="s">
        <v>16</v>
      </c>
      <c r="B34" s="0" t="s">
        <v>3376</v>
      </c>
      <c r="C34" s="0" t="s">
        <v>3377</v>
      </c>
      <c r="D34" s="0" t="s">
        <v>3412</v>
      </c>
      <c r="E34" s="0" t="s">
        <v>3413</v>
      </c>
      <c r="F34" s="0" t="s">
        <v>3354</v>
      </c>
      <c r="G34" s="0" t="s">
        <v>1767</v>
      </c>
    </row>
    <row customHeight="1" ht="11.25">
      <c r="A35" s="0" t="s">
        <v>16</v>
      </c>
      <c r="B35" s="0" t="s">
        <v>3376</v>
      </c>
      <c r="C35" s="0" t="s">
        <v>3377</v>
      </c>
      <c r="D35" s="0" t="s">
        <v>3414</v>
      </c>
      <c r="E35" s="0" t="s">
        <v>3415</v>
      </c>
      <c r="F35" s="0" t="s">
        <v>3354</v>
      </c>
      <c r="G35" s="0" t="s">
        <v>1772</v>
      </c>
    </row>
    <row customHeight="1" ht="11.25">
      <c r="A36" s="0" t="s">
        <v>16</v>
      </c>
      <c r="B36" s="0" t="s">
        <v>3376</v>
      </c>
      <c r="C36" s="0" t="s">
        <v>3377</v>
      </c>
      <c r="D36" s="0" t="s">
        <v>3416</v>
      </c>
      <c r="E36" s="0" t="s">
        <v>3417</v>
      </c>
      <c r="F36" s="0" t="s">
        <v>3354</v>
      </c>
      <c r="G36" s="0" t="s">
        <v>1777</v>
      </c>
    </row>
    <row customHeight="1" ht="11.25">
      <c r="A37" s="0" t="s">
        <v>16</v>
      </c>
      <c r="B37" s="0" t="s">
        <v>3376</v>
      </c>
      <c r="C37" s="0" t="s">
        <v>3377</v>
      </c>
      <c r="D37" s="0" t="s">
        <v>3418</v>
      </c>
      <c r="E37" s="0" t="s">
        <v>3419</v>
      </c>
      <c r="F37" s="0" t="s">
        <v>3354</v>
      </c>
      <c r="G37" s="0" t="s">
        <v>1781</v>
      </c>
    </row>
    <row customHeight="1" ht="11.25">
      <c r="A38" s="0" t="s">
        <v>16</v>
      </c>
      <c r="B38" s="0" t="s">
        <v>3376</v>
      </c>
      <c r="C38" s="0" t="s">
        <v>3377</v>
      </c>
      <c r="D38" s="0" t="s">
        <v>3420</v>
      </c>
      <c r="E38" s="0" t="s">
        <v>3421</v>
      </c>
      <c r="F38" s="0" t="s">
        <v>3354</v>
      </c>
      <c r="G38" s="0" t="s">
        <v>1789</v>
      </c>
    </row>
    <row customHeight="1" ht="11.25">
      <c r="A39" s="0" t="s">
        <v>16</v>
      </c>
      <c r="B39" s="0" t="s">
        <v>3422</v>
      </c>
      <c r="C39" s="0" t="s">
        <v>3423</v>
      </c>
      <c r="D39" s="0" t="s">
        <v>3422</v>
      </c>
      <c r="E39" s="0" t="s">
        <v>3423</v>
      </c>
      <c r="F39" s="0" t="s">
        <v>3350</v>
      </c>
      <c r="G39" s="0" t="s">
        <v>1795</v>
      </c>
    </row>
    <row customHeight="1" ht="11.25">
      <c r="A40" s="0" t="s">
        <v>16</v>
      </c>
      <c r="B40" s="0" t="s">
        <v>3424</v>
      </c>
      <c r="C40" s="0" t="s">
        <v>3425</v>
      </c>
      <c r="D40" s="0" t="s">
        <v>3426</v>
      </c>
      <c r="E40" s="0" t="s">
        <v>3427</v>
      </c>
      <c r="F40" s="0" t="s">
        <v>3354</v>
      </c>
      <c r="G40" s="0" t="s">
        <v>1800</v>
      </c>
    </row>
    <row customHeight="1" ht="11.25">
      <c r="A41" s="0" t="s">
        <v>16</v>
      </c>
      <c r="B41" s="0" t="s">
        <v>3424</v>
      </c>
      <c r="C41" s="0" t="s">
        <v>3425</v>
      </c>
      <c r="D41" s="0" t="s">
        <v>3428</v>
      </c>
      <c r="E41" s="0" t="s">
        <v>3429</v>
      </c>
      <c r="F41" s="0" t="s">
        <v>3354</v>
      </c>
      <c r="G41" s="0" t="s">
        <v>1804</v>
      </c>
    </row>
    <row customHeight="1" ht="11.25">
      <c r="A42" s="0" t="s">
        <v>16</v>
      </c>
      <c r="B42" s="0" t="s">
        <v>3424</v>
      </c>
      <c r="C42" s="0" t="s">
        <v>3425</v>
      </c>
      <c r="D42" s="0" t="s">
        <v>3430</v>
      </c>
      <c r="E42" s="0" t="s">
        <v>3431</v>
      </c>
      <c r="F42" s="0" t="s">
        <v>3354</v>
      </c>
      <c r="G42" s="0" t="s">
        <v>1807</v>
      </c>
    </row>
    <row customHeight="1" ht="11.25">
      <c r="A43" s="0" t="s">
        <v>16</v>
      </c>
      <c r="B43" s="0" t="s">
        <v>3424</v>
      </c>
      <c r="C43" s="0" t="s">
        <v>3425</v>
      </c>
      <c r="D43" s="0" t="s">
        <v>3432</v>
      </c>
      <c r="E43" s="0" t="s">
        <v>3433</v>
      </c>
      <c r="F43" s="0" t="s">
        <v>3354</v>
      </c>
      <c r="G43" s="0" t="s">
        <v>1814</v>
      </c>
    </row>
    <row customHeight="1" ht="11.25">
      <c r="A44" s="0" t="s">
        <v>16</v>
      </c>
      <c r="B44" s="0" t="s">
        <v>3424</v>
      </c>
      <c r="C44" s="0" t="s">
        <v>3425</v>
      </c>
      <c r="D44" s="0" t="s">
        <v>3434</v>
      </c>
      <c r="E44" s="0" t="s">
        <v>3435</v>
      </c>
      <c r="F44" s="0" t="s">
        <v>3354</v>
      </c>
      <c r="G44" s="0" t="s">
        <v>1823</v>
      </c>
    </row>
    <row customHeight="1" ht="11.25">
      <c r="A45" s="0" t="s">
        <v>16</v>
      </c>
      <c r="B45" s="0" t="s">
        <v>3424</v>
      </c>
      <c r="C45" s="0" t="s">
        <v>3425</v>
      </c>
      <c r="D45" s="0" t="s">
        <v>3424</v>
      </c>
      <c r="E45" s="0" t="s">
        <v>3425</v>
      </c>
      <c r="F45" s="0" t="s">
        <v>3392</v>
      </c>
      <c r="G45" s="0" t="s">
        <v>1828</v>
      </c>
    </row>
    <row customHeight="1" ht="11.25">
      <c r="A46" s="0" t="s">
        <v>16</v>
      </c>
      <c r="B46" s="0" t="s">
        <v>3424</v>
      </c>
      <c r="C46" s="0" t="s">
        <v>3425</v>
      </c>
      <c r="D46" s="0" t="s">
        <v>3436</v>
      </c>
      <c r="E46" s="0" t="s">
        <v>3437</v>
      </c>
      <c r="F46" s="0" t="s">
        <v>3354</v>
      </c>
      <c r="G46" s="0" t="s">
        <v>1831</v>
      </c>
    </row>
    <row customHeight="1" ht="11.25">
      <c r="A47" s="0" t="s">
        <v>16</v>
      </c>
      <c r="B47" s="0" t="s">
        <v>3424</v>
      </c>
      <c r="C47" s="0" t="s">
        <v>3425</v>
      </c>
      <c r="D47" s="0" t="s">
        <v>3438</v>
      </c>
      <c r="E47" s="0" t="s">
        <v>3439</v>
      </c>
      <c r="F47" s="0" t="s">
        <v>3354</v>
      </c>
      <c r="G47" s="0" t="s">
        <v>1837</v>
      </c>
    </row>
    <row customHeight="1" ht="11.25">
      <c r="A48" s="0" t="s">
        <v>16</v>
      </c>
      <c r="B48" s="0" t="s">
        <v>3424</v>
      </c>
      <c r="C48" s="0" t="s">
        <v>3425</v>
      </c>
      <c r="D48" s="0" t="s">
        <v>3440</v>
      </c>
      <c r="E48" s="0" t="s">
        <v>3441</v>
      </c>
      <c r="F48" s="0" t="s">
        <v>3354</v>
      </c>
      <c r="G48" s="0" t="s">
        <v>1842</v>
      </c>
    </row>
    <row customHeight="1" ht="11.25">
      <c r="A49" s="0" t="s">
        <v>16</v>
      </c>
      <c r="B49" s="0" t="s">
        <v>3424</v>
      </c>
      <c r="C49" s="0" t="s">
        <v>3425</v>
      </c>
      <c r="D49" s="0" t="s">
        <v>3442</v>
      </c>
      <c r="E49" s="0" t="s">
        <v>3443</v>
      </c>
      <c r="F49" s="0" t="s">
        <v>3354</v>
      </c>
      <c r="G49" s="0" t="s">
        <v>1845</v>
      </c>
    </row>
    <row customHeight="1" ht="11.25">
      <c r="A50" s="0" t="s">
        <v>16</v>
      </c>
      <c r="B50" s="0" t="s">
        <v>3424</v>
      </c>
      <c r="C50" s="0" t="s">
        <v>3425</v>
      </c>
      <c r="D50" s="0" t="s">
        <v>3444</v>
      </c>
      <c r="E50" s="0" t="s">
        <v>3445</v>
      </c>
      <c r="F50" s="0" t="s">
        <v>3354</v>
      </c>
      <c r="G50" s="0" t="s">
        <v>1849</v>
      </c>
    </row>
    <row customHeight="1" ht="11.25">
      <c r="A51" s="0" t="s">
        <v>16</v>
      </c>
      <c r="B51" s="0" t="s">
        <v>3424</v>
      </c>
      <c r="C51" s="0" t="s">
        <v>3425</v>
      </c>
      <c r="D51" s="0" t="s">
        <v>3446</v>
      </c>
      <c r="E51" s="0" t="s">
        <v>3447</v>
      </c>
      <c r="F51" s="0" t="s">
        <v>3354</v>
      </c>
      <c r="G51" s="0" t="s">
        <v>1854</v>
      </c>
    </row>
    <row customHeight="1" ht="11.25">
      <c r="A52" s="0" t="s">
        <v>16</v>
      </c>
      <c r="B52" s="0" t="s">
        <v>3448</v>
      </c>
      <c r="C52" s="0" t="s">
        <v>3449</v>
      </c>
      <c r="D52" s="0" t="s">
        <v>3450</v>
      </c>
      <c r="E52" s="0" t="s">
        <v>3451</v>
      </c>
      <c r="F52" s="0" t="s">
        <v>3354</v>
      </c>
      <c r="G52" s="0" t="s">
        <v>1858</v>
      </c>
    </row>
    <row customHeight="1" ht="11.25">
      <c r="A53" s="0" t="s">
        <v>16</v>
      </c>
      <c r="B53" s="0" t="s">
        <v>3448</v>
      </c>
      <c r="C53" s="0" t="s">
        <v>3449</v>
      </c>
      <c r="D53" s="0" t="s">
        <v>3452</v>
      </c>
      <c r="E53" s="0" t="s">
        <v>3453</v>
      </c>
      <c r="F53" s="0" t="s">
        <v>3354</v>
      </c>
      <c r="G53" s="0" t="s">
        <v>1860</v>
      </c>
    </row>
    <row customHeight="1" ht="11.25">
      <c r="A54" s="0" t="s">
        <v>16</v>
      </c>
      <c r="B54" s="0" t="s">
        <v>3448</v>
      </c>
      <c r="C54" s="0" t="s">
        <v>3449</v>
      </c>
      <c r="D54" s="0" t="s">
        <v>3454</v>
      </c>
      <c r="E54" s="0" t="s">
        <v>3455</v>
      </c>
      <c r="F54" s="0" t="s">
        <v>3354</v>
      </c>
      <c r="G54" s="0" t="s">
        <v>1863</v>
      </c>
    </row>
    <row customHeight="1" ht="11.25">
      <c r="A55" s="0" t="s">
        <v>16</v>
      </c>
      <c r="B55" s="0" t="s">
        <v>3448</v>
      </c>
      <c r="C55" s="0" t="s">
        <v>3449</v>
      </c>
      <c r="D55" s="0" t="s">
        <v>3456</v>
      </c>
      <c r="E55" s="0" t="s">
        <v>3457</v>
      </c>
      <c r="F55" s="0" t="s">
        <v>3354</v>
      </c>
      <c r="G55" s="0" t="s">
        <v>1868</v>
      </c>
    </row>
    <row customHeight="1" ht="11.25">
      <c r="A56" s="0" t="s">
        <v>16</v>
      </c>
      <c r="B56" s="0" t="s">
        <v>3448</v>
      </c>
      <c r="C56" s="0" t="s">
        <v>3449</v>
      </c>
      <c r="D56" s="0" t="s">
        <v>3448</v>
      </c>
      <c r="E56" s="0" t="s">
        <v>3449</v>
      </c>
      <c r="F56" s="0" t="s">
        <v>3392</v>
      </c>
      <c r="G56" s="0" t="s">
        <v>1872</v>
      </c>
    </row>
    <row customHeight="1" ht="11.25">
      <c r="A57" s="0" t="s">
        <v>16</v>
      </c>
      <c r="B57" s="0" t="s">
        <v>3448</v>
      </c>
      <c r="C57" s="0" t="s">
        <v>3449</v>
      </c>
      <c r="D57" s="0" t="s">
        <v>3458</v>
      </c>
      <c r="E57" s="0" t="s">
        <v>3459</v>
      </c>
      <c r="F57" s="0" t="s">
        <v>3397</v>
      </c>
      <c r="G57" s="0" t="s">
        <v>1875</v>
      </c>
    </row>
    <row customHeight="1" ht="11.25">
      <c r="A58" s="0" t="s">
        <v>16</v>
      </c>
      <c r="B58" s="0" t="s">
        <v>3448</v>
      </c>
      <c r="C58" s="0" t="s">
        <v>3449</v>
      </c>
      <c r="D58" s="0" t="s">
        <v>3460</v>
      </c>
      <c r="E58" s="0" t="s">
        <v>3461</v>
      </c>
      <c r="F58" s="0" t="s">
        <v>3462</v>
      </c>
      <c r="G58" s="0" t="s">
        <v>1878</v>
      </c>
    </row>
    <row customHeight="1" ht="11.25">
      <c r="A59" s="0" t="s">
        <v>16</v>
      </c>
      <c r="B59" s="0" t="s">
        <v>3448</v>
      </c>
      <c r="C59" s="0" t="s">
        <v>3449</v>
      </c>
      <c r="D59" s="0" t="s">
        <v>3463</v>
      </c>
      <c r="E59" s="0" t="s">
        <v>3464</v>
      </c>
      <c r="F59" s="0" t="s">
        <v>3462</v>
      </c>
      <c r="G59" s="0" t="s">
        <v>1882</v>
      </c>
    </row>
    <row customHeight="1" ht="11.25">
      <c r="A60" s="0" t="s">
        <v>16</v>
      </c>
      <c r="B60" s="0" t="s">
        <v>3448</v>
      </c>
      <c r="C60" s="0" t="s">
        <v>3449</v>
      </c>
      <c r="D60" s="0" t="s">
        <v>3465</v>
      </c>
      <c r="E60" s="0" t="s">
        <v>3466</v>
      </c>
      <c r="F60" s="0" t="s">
        <v>3462</v>
      </c>
      <c r="G60" s="0" t="s">
        <v>1885</v>
      </c>
    </row>
    <row customHeight="1" ht="11.25">
      <c r="A61" s="0" t="s">
        <v>16</v>
      </c>
      <c r="B61" s="0" t="s">
        <v>3448</v>
      </c>
      <c r="C61" s="0" t="s">
        <v>3449</v>
      </c>
      <c r="D61" s="0" t="s">
        <v>3467</v>
      </c>
      <c r="E61" s="0" t="s">
        <v>3468</v>
      </c>
      <c r="F61" s="0" t="s">
        <v>3354</v>
      </c>
      <c r="G61" s="0" t="s">
        <v>3469</v>
      </c>
    </row>
    <row customHeight="1" ht="11.25">
      <c r="A62" s="0" t="s">
        <v>16</v>
      </c>
      <c r="B62" s="0" t="s">
        <v>3448</v>
      </c>
      <c r="C62" s="0" t="s">
        <v>3449</v>
      </c>
      <c r="D62" s="0" t="s">
        <v>3470</v>
      </c>
      <c r="E62" s="0" t="s">
        <v>3471</v>
      </c>
      <c r="F62" s="0" t="s">
        <v>3354</v>
      </c>
      <c r="G62" s="0" t="s">
        <v>3472</v>
      </c>
    </row>
    <row customHeight="1" ht="11.25">
      <c r="A63" s="0" t="s">
        <v>16</v>
      </c>
      <c r="B63" s="0" t="s">
        <v>3448</v>
      </c>
      <c r="C63" s="0" t="s">
        <v>3449</v>
      </c>
      <c r="D63" s="0" t="s">
        <v>3473</v>
      </c>
      <c r="E63" s="0" t="s">
        <v>3474</v>
      </c>
      <c r="F63" s="0" t="s">
        <v>3354</v>
      </c>
      <c r="G63" s="0" t="s">
        <v>3475</v>
      </c>
    </row>
    <row customHeight="1" ht="11.25">
      <c r="A64" s="0" t="s">
        <v>16</v>
      </c>
      <c r="B64" s="0" t="s">
        <v>3448</v>
      </c>
      <c r="C64" s="0" t="s">
        <v>3449</v>
      </c>
      <c r="D64" s="0" t="s">
        <v>3476</v>
      </c>
      <c r="E64" s="0" t="s">
        <v>3477</v>
      </c>
      <c r="F64" s="0" t="s">
        <v>3354</v>
      </c>
      <c r="G64" s="0" t="s">
        <v>3478</v>
      </c>
    </row>
    <row customHeight="1" ht="11.25">
      <c r="A65" s="0" t="s">
        <v>16</v>
      </c>
      <c r="B65" s="0" t="s">
        <v>3479</v>
      </c>
      <c r="C65" s="0" t="s">
        <v>3480</v>
      </c>
      <c r="D65" s="0" t="s">
        <v>3481</v>
      </c>
      <c r="E65" s="0" t="s">
        <v>3482</v>
      </c>
      <c r="F65" s="0" t="s">
        <v>3354</v>
      </c>
      <c r="G65" s="0" t="s">
        <v>3483</v>
      </c>
    </row>
    <row customHeight="1" ht="11.25">
      <c r="A66" s="0" t="s">
        <v>16</v>
      </c>
      <c r="B66" s="0" t="s">
        <v>3479</v>
      </c>
      <c r="C66" s="0" t="s">
        <v>3480</v>
      </c>
      <c r="D66" s="0" t="s">
        <v>3484</v>
      </c>
      <c r="E66" s="0" t="s">
        <v>3485</v>
      </c>
      <c r="F66" s="0" t="s">
        <v>3354</v>
      </c>
      <c r="G66" s="0" t="s">
        <v>3486</v>
      </c>
    </row>
    <row customHeight="1" ht="11.25">
      <c r="A67" s="0" t="s">
        <v>16</v>
      </c>
      <c r="B67" s="0" t="s">
        <v>3479</v>
      </c>
      <c r="C67" s="0" t="s">
        <v>3480</v>
      </c>
      <c r="D67" s="0" t="s">
        <v>3487</v>
      </c>
      <c r="E67" s="0" t="s">
        <v>3488</v>
      </c>
      <c r="F67" s="0" t="s">
        <v>3354</v>
      </c>
      <c r="G67" s="0" t="s">
        <v>2203</v>
      </c>
    </row>
    <row customHeight="1" ht="11.25">
      <c r="A68" s="0" t="s">
        <v>16</v>
      </c>
      <c r="B68" s="0" t="s">
        <v>3479</v>
      </c>
      <c r="C68" s="0" t="s">
        <v>3480</v>
      </c>
      <c r="D68" s="0" t="s">
        <v>3479</v>
      </c>
      <c r="E68" s="0" t="s">
        <v>3480</v>
      </c>
      <c r="F68" s="0" t="s">
        <v>3392</v>
      </c>
      <c r="G68" s="0" t="s">
        <v>3489</v>
      </c>
    </row>
    <row customHeight="1" ht="11.25">
      <c r="A69" s="0" t="s">
        <v>16</v>
      </c>
      <c r="B69" s="0" t="s">
        <v>3479</v>
      </c>
      <c r="C69" s="0" t="s">
        <v>3480</v>
      </c>
      <c r="D69" s="0" t="s">
        <v>3490</v>
      </c>
      <c r="E69" s="0" t="s">
        <v>3491</v>
      </c>
      <c r="F69" s="0" t="s">
        <v>3354</v>
      </c>
      <c r="G69" s="0" t="s">
        <v>2406</v>
      </c>
    </row>
    <row customHeight="1" ht="11.25">
      <c r="A70" s="0" t="s">
        <v>16</v>
      </c>
      <c r="B70" s="0" t="s">
        <v>3479</v>
      </c>
      <c r="C70" s="0" t="s">
        <v>3480</v>
      </c>
      <c r="D70" s="0" t="s">
        <v>3492</v>
      </c>
      <c r="E70" s="0" t="s">
        <v>3493</v>
      </c>
      <c r="F70" s="0" t="s">
        <v>3354</v>
      </c>
      <c r="G70" s="0" t="s">
        <v>3494</v>
      </c>
    </row>
    <row customHeight="1" ht="11.25">
      <c r="A71" s="0" t="s">
        <v>16</v>
      </c>
      <c r="B71" s="0" t="s">
        <v>3479</v>
      </c>
      <c r="C71" s="0" t="s">
        <v>3480</v>
      </c>
      <c r="D71" s="0" t="s">
        <v>3495</v>
      </c>
      <c r="E71" s="0" t="s">
        <v>3496</v>
      </c>
      <c r="F71" s="0" t="s">
        <v>3397</v>
      </c>
      <c r="G71" s="0" t="s">
        <v>3497</v>
      </c>
    </row>
    <row customHeight="1" ht="11.25">
      <c r="A72" s="0" t="s">
        <v>16</v>
      </c>
      <c r="B72" s="0" t="s">
        <v>3479</v>
      </c>
      <c r="C72" s="0" t="s">
        <v>3480</v>
      </c>
      <c r="D72" s="0" t="s">
        <v>3498</v>
      </c>
      <c r="E72" s="0" t="s">
        <v>3499</v>
      </c>
      <c r="F72" s="0" t="s">
        <v>3354</v>
      </c>
      <c r="G72" s="0" t="s">
        <v>3500</v>
      </c>
    </row>
    <row customHeight="1" ht="11.25">
      <c r="A73" s="0" t="s">
        <v>16</v>
      </c>
      <c r="B73" s="0" t="s">
        <v>3479</v>
      </c>
      <c r="C73" s="0" t="s">
        <v>3480</v>
      </c>
      <c r="D73" s="0" t="s">
        <v>3501</v>
      </c>
      <c r="E73" s="0" t="s">
        <v>3502</v>
      </c>
      <c r="F73" s="0" t="s">
        <v>3354</v>
      </c>
      <c r="G73" s="0" t="s">
        <v>3503</v>
      </c>
    </row>
    <row customHeight="1" ht="11.25">
      <c r="A74" s="0" t="s">
        <v>16</v>
      </c>
      <c r="B74" s="0" t="s">
        <v>3479</v>
      </c>
      <c r="C74" s="0" t="s">
        <v>3480</v>
      </c>
      <c r="D74" s="0" t="s">
        <v>3504</v>
      </c>
      <c r="E74" s="0" t="s">
        <v>3505</v>
      </c>
      <c r="F74" s="0" t="s">
        <v>3354</v>
      </c>
      <c r="G74" s="0" t="s">
        <v>3506</v>
      </c>
    </row>
    <row customHeight="1" ht="11.25">
      <c r="A75" s="0" t="s">
        <v>16</v>
      </c>
      <c r="B75" s="0" t="s">
        <v>3479</v>
      </c>
      <c r="C75" s="0" t="s">
        <v>3480</v>
      </c>
      <c r="D75" s="0" t="s">
        <v>3507</v>
      </c>
      <c r="E75" s="0" t="s">
        <v>3508</v>
      </c>
      <c r="F75" s="0" t="s">
        <v>3354</v>
      </c>
      <c r="G75" s="0" t="s">
        <v>3509</v>
      </c>
    </row>
    <row customHeight="1" ht="11.25">
      <c r="A76" s="0" t="s">
        <v>16</v>
      </c>
      <c r="B76" s="0" t="s">
        <v>3479</v>
      </c>
      <c r="C76" s="0" t="s">
        <v>3480</v>
      </c>
      <c r="D76" s="0" t="s">
        <v>3510</v>
      </c>
      <c r="E76" s="0" t="s">
        <v>3511</v>
      </c>
      <c r="F76" s="0" t="s">
        <v>3354</v>
      </c>
      <c r="G76" s="0" t="s">
        <v>3512</v>
      </c>
    </row>
    <row customHeight="1" ht="11.25">
      <c r="A77" s="0" t="s">
        <v>16</v>
      </c>
      <c r="B77" s="0" t="s">
        <v>3479</v>
      </c>
      <c r="C77" s="0" t="s">
        <v>3480</v>
      </c>
      <c r="D77" s="0" t="s">
        <v>3513</v>
      </c>
      <c r="E77" s="0" t="s">
        <v>3514</v>
      </c>
      <c r="F77" s="0" t="s">
        <v>3354</v>
      </c>
      <c r="G77" s="0" t="s">
        <v>3515</v>
      </c>
    </row>
    <row customHeight="1" ht="11.25">
      <c r="A78" s="0" t="s">
        <v>16</v>
      </c>
      <c r="B78" s="0" t="s">
        <v>3479</v>
      </c>
      <c r="C78" s="0" t="s">
        <v>3480</v>
      </c>
      <c r="D78" s="0" t="s">
        <v>3516</v>
      </c>
      <c r="E78" s="0" t="s">
        <v>3517</v>
      </c>
      <c r="F78" s="0" t="s">
        <v>3354</v>
      </c>
      <c r="G78" s="0" t="s">
        <v>3518</v>
      </c>
    </row>
    <row customHeight="1" ht="11.25">
      <c r="A79" s="0" t="s">
        <v>16</v>
      </c>
      <c r="B79" s="0" t="s">
        <v>3519</v>
      </c>
      <c r="C79" s="0" t="s">
        <v>3520</v>
      </c>
      <c r="D79" s="0" t="s">
        <v>3521</v>
      </c>
      <c r="E79" s="0" t="s">
        <v>3522</v>
      </c>
      <c r="F79" s="0" t="s">
        <v>3354</v>
      </c>
      <c r="G79" s="0" t="s">
        <v>3523</v>
      </c>
    </row>
    <row customHeight="1" ht="11.25">
      <c r="A80" s="0" t="s">
        <v>16</v>
      </c>
      <c r="B80" s="0" t="s">
        <v>3519</v>
      </c>
      <c r="C80" s="0" t="s">
        <v>3520</v>
      </c>
      <c r="D80" s="0" t="s">
        <v>3524</v>
      </c>
      <c r="E80" s="0" t="s">
        <v>3525</v>
      </c>
      <c r="F80" s="0" t="s">
        <v>3354</v>
      </c>
      <c r="G80" s="0" t="s">
        <v>3526</v>
      </c>
    </row>
    <row customHeight="1" ht="11.25">
      <c r="A81" s="0" t="s">
        <v>16</v>
      </c>
      <c r="B81" s="0" t="s">
        <v>3519</v>
      </c>
      <c r="C81" s="0" t="s">
        <v>3520</v>
      </c>
      <c r="D81" s="0" t="s">
        <v>3527</v>
      </c>
      <c r="E81" s="0" t="s">
        <v>3528</v>
      </c>
      <c r="F81" s="0" t="s">
        <v>3354</v>
      </c>
      <c r="G81" s="0" t="s">
        <v>3529</v>
      </c>
    </row>
    <row customHeight="1" ht="11.25">
      <c r="A82" s="0" t="s">
        <v>16</v>
      </c>
      <c r="B82" s="0" t="s">
        <v>3519</v>
      </c>
      <c r="C82" s="0" t="s">
        <v>3520</v>
      </c>
      <c r="D82" s="0" t="s">
        <v>3530</v>
      </c>
      <c r="E82" s="0" t="s">
        <v>3531</v>
      </c>
      <c r="F82" s="0" t="s">
        <v>3354</v>
      </c>
      <c r="G82" s="0" t="s">
        <v>3532</v>
      </c>
    </row>
    <row customHeight="1" ht="11.25">
      <c r="A83" s="0" t="s">
        <v>16</v>
      </c>
      <c r="B83" s="0" t="s">
        <v>3519</v>
      </c>
      <c r="C83" s="0" t="s">
        <v>3520</v>
      </c>
      <c r="D83" s="0" t="s">
        <v>3533</v>
      </c>
      <c r="E83" s="0" t="s">
        <v>3534</v>
      </c>
      <c r="F83" s="0" t="s">
        <v>3354</v>
      </c>
      <c r="G83" s="0" t="s">
        <v>3535</v>
      </c>
    </row>
    <row customHeight="1" ht="11.25">
      <c r="A84" s="0" t="s">
        <v>16</v>
      </c>
      <c r="B84" s="0" t="s">
        <v>3519</v>
      </c>
      <c r="C84" s="0" t="s">
        <v>3520</v>
      </c>
      <c r="D84" s="0" t="s">
        <v>3536</v>
      </c>
      <c r="E84" s="0" t="s">
        <v>3537</v>
      </c>
      <c r="F84" s="0" t="s">
        <v>3354</v>
      </c>
      <c r="G84" s="0" t="s">
        <v>3538</v>
      </c>
    </row>
    <row customHeight="1" ht="11.25">
      <c r="A85" s="0" t="s">
        <v>16</v>
      </c>
      <c r="B85" s="0" t="s">
        <v>3519</v>
      </c>
      <c r="C85" s="0" t="s">
        <v>3520</v>
      </c>
      <c r="D85" s="0" t="s">
        <v>3539</v>
      </c>
      <c r="E85" s="0" t="s">
        <v>3540</v>
      </c>
      <c r="F85" s="0" t="s">
        <v>3354</v>
      </c>
      <c r="G85" s="0" t="s">
        <v>3541</v>
      </c>
    </row>
    <row customHeight="1" ht="11.25">
      <c r="A86" s="0" t="s">
        <v>16</v>
      </c>
      <c r="B86" s="0" t="s">
        <v>3519</v>
      </c>
      <c r="C86" s="0" t="s">
        <v>3520</v>
      </c>
      <c r="D86" s="0" t="s">
        <v>3519</v>
      </c>
      <c r="E86" s="0" t="s">
        <v>3520</v>
      </c>
      <c r="F86" s="0" t="s">
        <v>3392</v>
      </c>
      <c r="G86" s="0" t="s">
        <v>3542</v>
      </c>
    </row>
    <row customHeight="1" ht="11.25">
      <c r="A87" s="0" t="s">
        <v>16</v>
      </c>
      <c r="B87" s="0" t="s">
        <v>3519</v>
      </c>
      <c r="C87" s="0" t="s">
        <v>3520</v>
      </c>
      <c r="D87" s="0" t="s">
        <v>3543</v>
      </c>
      <c r="E87" s="0" t="s">
        <v>3544</v>
      </c>
      <c r="F87" s="0" t="s">
        <v>3354</v>
      </c>
      <c r="G87" s="0" t="s">
        <v>3545</v>
      </c>
    </row>
    <row customHeight="1" ht="11.25">
      <c r="A88" s="0" t="s">
        <v>16</v>
      </c>
      <c r="B88" s="0" t="s">
        <v>3519</v>
      </c>
      <c r="C88" s="0" t="s">
        <v>3520</v>
      </c>
      <c r="D88" s="0" t="s">
        <v>3546</v>
      </c>
      <c r="E88" s="0" t="s">
        <v>3547</v>
      </c>
      <c r="F88" s="0" t="s">
        <v>3354</v>
      </c>
      <c r="G88" s="0" t="s">
        <v>3548</v>
      </c>
    </row>
    <row customHeight="1" ht="11.25">
      <c r="A89" s="0" t="s">
        <v>16</v>
      </c>
      <c r="B89" s="0" t="s">
        <v>3519</v>
      </c>
      <c r="C89" s="0" t="s">
        <v>3520</v>
      </c>
      <c r="D89" s="0" t="s">
        <v>3549</v>
      </c>
      <c r="E89" s="0" t="s">
        <v>3550</v>
      </c>
      <c r="F89" s="0" t="s">
        <v>3354</v>
      </c>
      <c r="G89" s="0" t="s">
        <v>3551</v>
      </c>
    </row>
    <row customHeight="1" ht="11.25">
      <c r="A90" s="0" t="s">
        <v>16</v>
      </c>
      <c r="B90" s="0" t="s">
        <v>3519</v>
      </c>
      <c r="C90" s="0" t="s">
        <v>3520</v>
      </c>
      <c r="D90" s="0" t="s">
        <v>3552</v>
      </c>
      <c r="E90" s="0" t="s">
        <v>3553</v>
      </c>
      <c r="F90" s="0" t="s">
        <v>3354</v>
      </c>
      <c r="G90" s="0" t="s">
        <v>3554</v>
      </c>
    </row>
    <row customHeight="1" ht="11.25">
      <c r="A91" s="0" t="s">
        <v>16</v>
      </c>
      <c r="B91" s="0" t="s">
        <v>3555</v>
      </c>
      <c r="C91" s="0" t="s">
        <v>3556</v>
      </c>
      <c r="D91" s="0" t="s">
        <v>3557</v>
      </c>
      <c r="E91" s="0" t="s">
        <v>3558</v>
      </c>
      <c r="F91" s="0" t="s">
        <v>3354</v>
      </c>
      <c r="G91" s="0" t="s">
        <v>3559</v>
      </c>
    </row>
    <row customHeight="1" ht="11.25">
      <c r="A92" s="0" t="s">
        <v>16</v>
      </c>
      <c r="B92" s="0" t="s">
        <v>3555</v>
      </c>
      <c r="C92" s="0" t="s">
        <v>3556</v>
      </c>
      <c r="D92" s="0" t="s">
        <v>3560</v>
      </c>
      <c r="E92" s="0" t="s">
        <v>3561</v>
      </c>
      <c r="F92" s="0" t="s">
        <v>3354</v>
      </c>
      <c r="G92" s="0" t="s">
        <v>3562</v>
      </c>
    </row>
    <row customHeight="1" ht="11.25">
      <c r="A93" s="0" t="s">
        <v>16</v>
      </c>
      <c r="B93" s="0" t="s">
        <v>3555</v>
      </c>
      <c r="C93" s="0" t="s">
        <v>3556</v>
      </c>
      <c r="D93" s="0" t="s">
        <v>3563</v>
      </c>
      <c r="E93" s="0" t="s">
        <v>3564</v>
      </c>
      <c r="F93" s="0" t="s">
        <v>3354</v>
      </c>
      <c r="G93" s="0" t="s">
        <v>3565</v>
      </c>
    </row>
    <row customHeight="1" ht="11.25">
      <c r="A94" s="0" t="s">
        <v>16</v>
      </c>
      <c r="B94" s="0" t="s">
        <v>3555</v>
      </c>
      <c r="C94" s="0" t="s">
        <v>3556</v>
      </c>
      <c r="D94" s="0" t="s">
        <v>3566</v>
      </c>
      <c r="E94" s="0" t="s">
        <v>3567</v>
      </c>
      <c r="F94" s="0" t="s">
        <v>3354</v>
      </c>
      <c r="G94" s="0" t="s">
        <v>3568</v>
      </c>
    </row>
    <row customHeight="1" ht="11.25">
      <c r="A95" s="0" t="s">
        <v>16</v>
      </c>
      <c r="B95" s="0" t="s">
        <v>3555</v>
      </c>
      <c r="C95" s="0" t="s">
        <v>3556</v>
      </c>
      <c r="D95" s="0" t="s">
        <v>3569</v>
      </c>
      <c r="E95" s="0" t="s">
        <v>3570</v>
      </c>
      <c r="F95" s="0" t="s">
        <v>3354</v>
      </c>
      <c r="G95" s="0" t="s">
        <v>3571</v>
      </c>
    </row>
    <row customHeight="1" ht="11.25">
      <c r="A96" s="0" t="s">
        <v>16</v>
      </c>
      <c r="B96" s="0" t="s">
        <v>3555</v>
      </c>
      <c r="C96" s="0" t="s">
        <v>3556</v>
      </c>
      <c r="D96" s="0" t="s">
        <v>3572</v>
      </c>
      <c r="E96" s="0" t="s">
        <v>3573</v>
      </c>
      <c r="F96" s="0" t="s">
        <v>3354</v>
      </c>
      <c r="G96" s="0" t="s">
        <v>3574</v>
      </c>
    </row>
    <row customHeight="1" ht="11.25">
      <c r="A97" s="0" t="s">
        <v>16</v>
      </c>
      <c r="B97" s="0" t="s">
        <v>3555</v>
      </c>
      <c r="C97" s="0" t="s">
        <v>3556</v>
      </c>
      <c r="D97" s="0" t="s">
        <v>3575</v>
      </c>
      <c r="E97" s="0" t="s">
        <v>3576</v>
      </c>
      <c r="F97" s="0" t="s">
        <v>3354</v>
      </c>
      <c r="G97" s="0" t="s">
        <v>3577</v>
      </c>
    </row>
    <row customHeight="1" ht="11.25">
      <c r="A98" s="0" t="s">
        <v>16</v>
      </c>
      <c r="B98" s="0" t="s">
        <v>3555</v>
      </c>
      <c r="C98" s="0" t="s">
        <v>3556</v>
      </c>
      <c r="D98" s="0" t="s">
        <v>3578</v>
      </c>
      <c r="E98" s="0" t="s">
        <v>3579</v>
      </c>
      <c r="F98" s="0" t="s">
        <v>3354</v>
      </c>
      <c r="G98" s="0" t="s">
        <v>3580</v>
      </c>
    </row>
    <row customHeight="1" ht="11.25">
      <c r="A99" s="0" t="s">
        <v>16</v>
      </c>
      <c r="B99" s="0" t="s">
        <v>3555</v>
      </c>
      <c r="C99" s="0" t="s">
        <v>3556</v>
      </c>
      <c r="D99" s="0" t="s">
        <v>3581</v>
      </c>
      <c r="E99" s="0" t="s">
        <v>3582</v>
      </c>
      <c r="F99" s="0" t="s">
        <v>3354</v>
      </c>
      <c r="G99" s="0" t="s">
        <v>3583</v>
      </c>
    </row>
    <row customHeight="1" ht="11.25">
      <c r="A100" s="0" t="s">
        <v>16</v>
      </c>
      <c r="B100" s="0" t="s">
        <v>3555</v>
      </c>
      <c r="C100" s="0" t="s">
        <v>3556</v>
      </c>
      <c r="D100" s="0" t="s">
        <v>3555</v>
      </c>
      <c r="E100" s="0" t="s">
        <v>3556</v>
      </c>
      <c r="F100" s="0" t="s">
        <v>3392</v>
      </c>
      <c r="G100" s="0" t="s">
        <v>3584</v>
      </c>
    </row>
    <row customHeight="1" ht="11.25">
      <c r="A101" s="0" t="s">
        <v>16</v>
      </c>
      <c r="B101" s="0" t="s">
        <v>3555</v>
      </c>
      <c r="C101" s="0" t="s">
        <v>3556</v>
      </c>
      <c r="D101" s="0" t="s">
        <v>3585</v>
      </c>
      <c r="E101" s="0" t="s">
        <v>3586</v>
      </c>
      <c r="F101" s="0" t="s">
        <v>3354</v>
      </c>
      <c r="G101" s="0" t="s">
        <v>3587</v>
      </c>
    </row>
    <row customHeight="1" ht="11.25">
      <c r="A102" s="0" t="s">
        <v>16</v>
      </c>
      <c r="B102" s="0" t="s">
        <v>3555</v>
      </c>
      <c r="C102" s="0" t="s">
        <v>3556</v>
      </c>
      <c r="D102" s="0" t="s">
        <v>3588</v>
      </c>
      <c r="E102" s="0" t="s">
        <v>3589</v>
      </c>
      <c r="F102" s="0" t="s">
        <v>3354</v>
      </c>
      <c r="G102" s="0" t="s">
        <v>3590</v>
      </c>
    </row>
    <row customHeight="1" ht="11.25">
      <c r="A103" s="0" t="s">
        <v>16</v>
      </c>
      <c r="B103" s="0" t="s">
        <v>3555</v>
      </c>
      <c r="C103" s="0" t="s">
        <v>3556</v>
      </c>
      <c r="D103" s="0" t="s">
        <v>3591</v>
      </c>
      <c r="E103" s="0" t="s">
        <v>3592</v>
      </c>
      <c r="F103" s="0" t="s">
        <v>3354</v>
      </c>
      <c r="G103" s="0" t="s">
        <v>3593</v>
      </c>
    </row>
    <row customHeight="1" ht="11.25">
      <c r="A104" s="0" t="s">
        <v>16</v>
      </c>
      <c r="B104" s="0" t="s">
        <v>3555</v>
      </c>
      <c r="C104" s="0" t="s">
        <v>3556</v>
      </c>
      <c r="D104" s="0" t="s">
        <v>3594</v>
      </c>
      <c r="E104" s="0" t="s">
        <v>3595</v>
      </c>
      <c r="F104" s="0" t="s">
        <v>3354</v>
      </c>
      <c r="G104" s="0" t="s">
        <v>3596</v>
      </c>
    </row>
    <row customHeight="1" ht="11.25">
      <c r="A105" s="0" t="s">
        <v>16</v>
      </c>
      <c r="B105" s="0" t="s">
        <v>106</v>
      </c>
      <c r="C105" s="0" t="s">
        <v>107</v>
      </c>
      <c r="D105" s="0" t="s">
        <v>106</v>
      </c>
      <c r="E105" s="0" t="s">
        <v>107</v>
      </c>
      <c r="F105" s="0" t="s">
        <v>3359</v>
      </c>
      <c r="G105" s="0" t="s">
        <v>105</v>
      </c>
    </row>
    <row customHeight="1" ht="11.25">
      <c r="A106" s="0" t="s">
        <v>16</v>
      </c>
      <c r="B106" s="0" t="s">
        <v>3597</v>
      </c>
      <c r="C106" s="0" t="s">
        <v>3598</v>
      </c>
      <c r="D106" s="0" t="s">
        <v>3597</v>
      </c>
      <c r="E106" s="0" t="s">
        <v>3598</v>
      </c>
      <c r="F106" s="0" t="s">
        <v>3350</v>
      </c>
      <c r="G106" s="0" t="s">
        <v>3599</v>
      </c>
    </row>
    <row customHeight="1" ht="11.25">
      <c r="A107" s="0" t="s">
        <v>16</v>
      </c>
      <c r="B107" s="0" t="s">
        <v>3600</v>
      </c>
      <c r="C107" s="0" t="s">
        <v>3601</v>
      </c>
      <c r="D107" s="0" t="s">
        <v>3484</v>
      </c>
      <c r="E107" s="0" t="s">
        <v>3602</v>
      </c>
      <c r="F107" s="0" t="s">
        <v>3354</v>
      </c>
      <c r="G107" s="0" t="s">
        <v>3603</v>
      </c>
    </row>
    <row customHeight="1" ht="11.25">
      <c r="A108" s="0" t="s">
        <v>16</v>
      </c>
      <c r="B108" s="0" t="s">
        <v>3600</v>
      </c>
      <c r="C108" s="0" t="s">
        <v>3601</v>
      </c>
      <c r="D108" s="0" t="s">
        <v>3604</v>
      </c>
      <c r="E108" s="0" t="s">
        <v>3605</v>
      </c>
      <c r="F108" s="0" t="s">
        <v>3354</v>
      </c>
      <c r="G108" s="0" t="s">
        <v>3606</v>
      </c>
    </row>
    <row customHeight="1" ht="11.25">
      <c r="A109" s="0" t="s">
        <v>16</v>
      </c>
      <c r="B109" s="0" t="s">
        <v>3600</v>
      </c>
      <c r="C109" s="0" t="s">
        <v>3601</v>
      </c>
      <c r="D109" s="0" t="s">
        <v>3607</v>
      </c>
      <c r="E109" s="0" t="s">
        <v>3608</v>
      </c>
      <c r="F109" s="0" t="s">
        <v>3354</v>
      </c>
      <c r="G109" s="0" t="s">
        <v>3609</v>
      </c>
    </row>
    <row customHeight="1" ht="11.25">
      <c r="A110" s="0" t="s">
        <v>16</v>
      </c>
      <c r="B110" s="0" t="s">
        <v>3600</v>
      </c>
      <c r="C110" s="0" t="s">
        <v>3601</v>
      </c>
      <c r="D110" s="0" t="s">
        <v>3610</v>
      </c>
      <c r="E110" s="0" t="s">
        <v>3611</v>
      </c>
      <c r="F110" s="0" t="s">
        <v>3354</v>
      </c>
      <c r="G110" s="0" t="s">
        <v>3612</v>
      </c>
    </row>
    <row customHeight="1" ht="11.25">
      <c r="A111" s="0" t="s">
        <v>16</v>
      </c>
      <c r="B111" s="0" t="s">
        <v>3600</v>
      </c>
      <c r="C111" s="0" t="s">
        <v>3601</v>
      </c>
      <c r="D111" s="0" t="s">
        <v>3613</v>
      </c>
      <c r="E111" s="0" t="s">
        <v>3614</v>
      </c>
      <c r="F111" s="0" t="s">
        <v>3354</v>
      </c>
      <c r="G111" s="0" t="s">
        <v>3615</v>
      </c>
    </row>
    <row customHeight="1" ht="11.25">
      <c r="A112" s="0" t="s">
        <v>16</v>
      </c>
      <c r="B112" s="0" t="s">
        <v>3600</v>
      </c>
      <c r="C112" s="0" t="s">
        <v>3601</v>
      </c>
      <c r="D112" s="0" t="s">
        <v>3616</v>
      </c>
      <c r="E112" s="0" t="s">
        <v>3617</v>
      </c>
      <c r="F112" s="0" t="s">
        <v>3354</v>
      </c>
      <c r="G112" s="0" t="s">
        <v>634</v>
      </c>
    </row>
    <row customHeight="1" ht="11.25">
      <c r="A113" s="0" t="s">
        <v>16</v>
      </c>
      <c r="B113" s="0" t="s">
        <v>3600</v>
      </c>
      <c r="C113" s="0" t="s">
        <v>3601</v>
      </c>
      <c r="D113" s="0" t="s">
        <v>3618</v>
      </c>
      <c r="E113" s="0" t="s">
        <v>3619</v>
      </c>
      <c r="F113" s="0" t="s">
        <v>3354</v>
      </c>
      <c r="G113" s="0" t="s">
        <v>3620</v>
      </c>
    </row>
    <row customHeight="1" ht="11.25">
      <c r="A114" s="0" t="s">
        <v>16</v>
      </c>
      <c r="B114" s="0" t="s">
        <v>3600</v>
      </c>
      <c r="C114" s="0" t="s">
        <v>3601</v>
      </c>
      <c r="D114" s="0" t="s">
        <v>3621</v>
      </c>
      <c r="E114" s="0" t="s">
        <v>3622</v>
      </c>
      <c r="F114" s="0" t="s">
        <v>3354</v>
      </c>
      <c r="G114" s="0" t="s">
        <v>3623</v>
      </c>
    </row>
    <row customHeight="1" ht="11.25">
      <c r="A115" s="0" t="s">
        <v>16</v>
      </c>
      <c r="B115" s="0" t="s">
        <v>3600</v>
      </c>
      <c r="C115" s="0" t="s">
        <v>3601</v>
      </c>
      <c r="D115" s="0" t="s">
        <v>3624</v>
      </c>
      <c r="E115" s="0" t="s">
        <v>3625</v>
      </c>
      <c r="F115" s="0" t="s">
        <v>3354</v>
      </c>
      <c r="G115" s="0" t="s">
        <v>3626</v>
      </c>
    </row>
    <row customHeight="1" ht="11.25">
      <c r="A116" s="0" t="s">
        <v>16</v>
      </c>
      <c r="B116" s="0" t="s">
        <v>3600</v>
      </c>
      <c r="C116" s="0" t="s">
        <v>3601</v>
      </c>
      <c r="D116" s="0" t="s">
        <v>3627</v>
      </c>
      <c r="E116" s="0" t="s">
        <v>3628</v>
      </c>
      <c r="F116" s="0" t="s">
        <v>3354</v>
      </c>
      <c r="G116" s="0" t="s">
        <v>3629</v>
      </c>
    </row>
    <row customHeight="1" ht="11.25">
      <c r="A117" s="0" t="s">
        <v>16</v>
      </c>
      <c r="B117" s="0" t="s">
        <v>3600</v>
      </c>
      <c r="C117" s="0" t="s">
        <v>3601</v>
      </c>
      <c r="D117" s="0" t="s">
        <v>3630</v>
      </c>
      <c r="E117" s="0" t="s">
        <v>3631</v>
      </c>
      <c r="F117" s="0" t="s">
        <v>3354</v>
      </c>
      <c r="G117" s="0" t="s">
        <v>3632</v>
      </c>
    </row>
    <row customHeight="1" ht="11.25">
      <c r="A118" s="0" t="s">
        <v>16</v>
      </c>
      <c r="B118" s="0" t="s">
        <v>3600</v>
      </c>
      <c r="C118" s="0" t="s">
        <v>3601</v>
      </c>
      <c r="D118" s="0" t="s">
        <v>3633</v>
      </c>
      <c r="E118" s="0" t="s">
        <v>3634</v>
      </c>
      <c r="F118" s="0" t="s">
        <v>3354</v>
      </c>
      <c r="G118" s="0" t="s">
        <v>3635</v>
      </c>
    </row>
    <row customHeight="1" ht="11.25">
      <c r="A119" s="0" t="s">
        <v>16</v>
      </c>
      <c r="B119" s="0" t="s">
        <v>3600</v>
      </c>
      <c r="C119" s="0" t="s">
        <v>3601</v>
      </c>
      <c r="D119" s="0" t="s">
        <v>3600</v>
      </c>
      <c r="E119" s="0" t="s">
        <v>3601</v>
      </c>
      <c r="F119" s="0" t="s">
        <v>3392</v>
      </c>
      <c r="G119" s="0" t="s">
        <v>3636</v>
      </c>
    </row>
    <row customHeight="1" ht="11.25">
      <c r="A120" s="0" t="s">
        <v>16</v>
      </c>
      <c r="B120" s="0" t="s">
        <v>3600</v>
      </c>
      <c r="C120" s="0" t="s">
        <v>3601</v>
      </c>
      <c r="D120" s="0" t="s">
        <v>3637</v>
      </c>
      <c r="E120" s="0" t="s">
        <v>3638</v>
      </c>
      <c r="F120" s="0" t="s">
        <v>3354</v>
      </c>
      <c r="G120" s="0" t="s">
        <v>3639</v>
      </c>
    </row>
    <row customHeight="1" ht="11.25">
      <c r="A121" s="0" t="s">
        <v>16</v>
      </c>
      <c r="B121" s="0" t="s">
        <v>3600</v>
      </c>
      <c r="C121" s="0" t="s">
        <v>3601</v>
      </c>
      <c r="D121" s="0" t="s">
        <v>3640</v>
      </c>
      <c r="E121" s="0" t="s">
        <v>3641</v>
      </c>
      <c r="F121" s="0" t="s">
        <v>3354</v>
      </c>
      <c r="G121" s="0" t="s">
        <v>3642</v>
      </c>
    </row>
    <row customHeight="1" ht="11.25">
      <c r="A122" s="0" t="s">
        <v>16</v>
      </c>
      <c r="B122" s="0" t="s">
        <v>3600</v>
      </c>
      <c r="C122" s="0" t="s">
        <v>3601</v>
      </c>
      <c r="D122" s="0" t="s">
        <v>3643</v>
      </c>
      <c r="E122" s="0" t="s">
        <v>3644</v>
      </c>
      <c r="F122" s="0" t="s">
        <v>3354</v>
      </c>
      <c r="G122" s="0" t="s">
        <v>3645</v>
      </c>
    </row>
    <row customHeight="1" ht="11.25">
      <c r="A123" s="0" t="s">
        <v>16</v>
      </c>
      <c r="B123" s="0" t="s">
        <v>3646</v>
      </c>
      <c r="C123" s="0" t="s">
        <v>3647</v>
      </c>
      <c r="D123" s="0" t="s">
        <v>3648</v>
      </c>
      <c r="E123" s="0" t="s">
        <v>3649</v>
      </c>
      <c r="F123" s="0" t="s">
        <v>3354</v>
      </c>
      <c r="G123" s="0" t="s">
        <v>3650</v>
      </c>
    </row>
    <row customHeight="1" ht="11.25">
      <c r="A124" s="0" t="s">
        <v>16</v>
      </c>
      <c r="B124" s="0" t="s">
        <v>3646</v>
      </c>
      <c r="C124" s="0" t="s">
        <v>3647</v>
      </c>
      <c r="D124" s="0" t="s">
        <v>3393</v>
      </c>
      <c r="E124" s="0" t="s">
        <v>3651</v>
      </c>
      <c r="F124" s="0" t="s">
        <v>3354</v>
      </c>
      <c r="G124" s="0" t="s">
        <v>3652</v>
      </c>
    </row>
    <row customHeight="1" ht="11.25">
      <c r="A125" s="0" t="s">
        <v>16</v>
      </c>
      <c r="B125" s="0" t="s">
        <v>3646</v>
      </c>
      <c r="C125" s="0" t="s">
        <v>3647</v>
      </c>
      <c r="D125" s="0" t="s">
        <v>3653</v>
      </c>
      <c r="E125" s="0" t="s">
        <v>3654</v>
      </c>
      <c r="F125" s="0" t="s">
        <v>3354</v>
      </c>
      <c r="G125" s="0" t="s">
        <v>3655</v>
      </c>
    </row>
    <row customHeight="1" ht="11.25">
      <c r="A126" s="0" t="s">
        <v>16</v>
      </c>
      <c r="B126" s="0" t="s">
        <v>3646</v>
      </c>
      <c r="C126" s="0" t="s">
        <v>3647</v>
      </c>
      <c r="D126" s="0" t="s">
        <v>3656</v>
      </c>
      <c r="E126" s="0" t="s">
        <v>3657</v>
      </c>
      <c r="F126" s="0" t="s">
        <v>3354</v>
      </c>
      <c r="G126" s="0" t="s">
        <v>3658</v>
      </c>
    </row>
    <row customHeight="1" ht="11.25">
      <c r="A127" s="0" t="s">
        <v>16</v>
      </c>
      <c r="B127" s="0" t="s">
        <v>3646</v>
      </c>
      <c r="C127" s="0" t="s">
        <v>3647</v>
      </c>
      <c r="D127" s="0" t="s">
        <v>3659</v>
      </c>
      <c r="E127" s="0" t="s">
        <v>3660</v>
      </c>
      <c r="F127" s="0" t="s">
        <v>3397</v>
      </c>
      <c r="G127" s="0" t="s">
        <v>3661</v>
      </c>
    </row>
    <row customHeight="1" ht="11.25">
      <c r="A128" s="0" t="s">
        <v>16</v>
      </c>
      <c r="B128" s="0" t="s">
        <v>3646</v>
      </c>
      <c r="C128" s="0" t="s">
        <v>3647</v>
      </c>
      <c r="D128" s="0" t="s">
        <v>3662</v>
      </c>
      <c r="E128" s="0" t="s">
        <v>3663</v>
      </c>
      <c r="F128" s="0" t="s">
        <v>3354</v>
      </c>
      <c r="G128" s="0" t="s">
        <v>3664</v>
      </c>
    </row>
    <row customHeight="1" ht="11.25">
      <c r="A129" s="0" t="s">
        <v>16</v>
      </c>
      <c r="B129" s="0" t="s">
        <v>3646</v>
      </c>
      <c r="C129" s="0" t="s">
        <v>3647</v>
      </c>
      <c r="D129" s="0" t="s">
        <v>3665</v>
      </c>
      <c r="E129" s="0" t="s">
        <v>3666</v>
      </c>
      <c r="F129" s="0" t="s">
        <v>3354</v>
      </c>
      <c r="G129" s="0" t="s">
        <v>3667</v>
      </c>
    </row>
    <row customHeight="1" ht="11.25">
      <c r="A130" s="0" t="s">
        <v>16</v>
      </c>
      <c r="B130" s="0" t="s">
        <v>3646</v>
      </c>
      <c r="C130" s="0" t="s">
        <v>3647</v>
      </c>
      <c r="D130" s="0" t="s">
        <v>3668</v>
      </c>
      <c r="E130" s="0" t="s">
        <v>3669</v>
      </c>
      <c r="F130" s="0" t="s">
        <v>3462</v>
      </c>
      <c r="G130" s="0" t="s">
        <v>3670</v>
      </c>
    </row>
    <row customHeight="1" ht="11.25">
      <c r="A131" s="0" t="s">
        <v>16</v>
      </c>
      <c r="B131" s="0" t="s">
        <v>3646</v>
      </c>
      <c r="C131" s="0" t="s">
        <v>3647</v>
      </c>
      <c r="D131" s="0" t="s">
        <v>3671</v>
      </c>
      <c r="E131" s="0" t="s">
        <v>3672</v>
      </c>
      <c r="F131" s="0" t="s">
        <v>3462</v>
      </c>
      <c r="G131" s="0" t="s">
        <v>3673</v>
      </c>
    </row>
    <row customHeight="1" ht="11.25">
      <c r="A132" s="0" t="s">
        <v>16</v>
      </c>
      <c r="B132" s="0" t="s">
        <v>3646</v>
      </c>
      <c r="C132" s="0" t="s">
        <v>3647</v>
      </c>
      <c r="D132" s="0" t="s">
        <v>3674</v>
      </c>
      <c r="E132" s="0" t="s">
        <v>3675</v>
      </c>
      <c r="F132" s="0" t="s">
        <v>3462</v>
      </c>
      <c r="G132" s="0" t="s">
        <v>3676</v>
      </c>
    </row>
    <row customHeight="1" ht="11.25">
      <c r="A133" s="0" t="s">
        <v>16</v>
      </c>
      <c r="B133" s="0" t="s">
        <v>3646</v>
      </c>
      <c r="C133" s="0" t="s">
        <v>3647</v>
      </c>
      <c r="D133" s="0" t="s">
        <v>3646</v>
      </c>
      <c r="E133" s="0" t="s">
        <v>3647</v>
      </c>
      <c r="F133" s="0" t="s">
        <v>3392</v>
      </c>
      <c r="G133" s="0" t="s">
        <v>3677</v>
      </c>
    </row>
    <row customHeight="1" ht="11.25">
      <c r="A134" s="0" t="s">
        <v>16</v>
      </c>
      <c r="B134" s="0" t="s">
        <v>3646</v>
      </c>
      <c r="C134" s="0" t="s">
        <v>3647</v>
      </c>
      <c r="D134" s="0" t="s">
        <v>3678</v>
      </c>
      <c r="E134" s="0" t="s">
        <v>3679</v>
      </c>
      <c r="F134" s="0" t="s">
        <v>3354</v>
      </c>
      <c r="G134" s="0" t="s">
        <v>3680</v>
      </c>
    </row>
    <row customHeight="1" ht="11.25">
      <c r="A135" s="0" t="s">
        <v>16</v>
      </c>
      <c r="B135" s="0" t="s">
        <v>3681</v>
      </c>
      <c r="C135" s="0" t="s">
        <v>3682</v>
      </c>
      <c r="D135" s="0" t="s">
        <v>3681</v>
      </c>
      <c r="E135" s="0" t="s">
        <v>3682</v>
      </c>
      <c r="F135" s="0" t="s">
        <v>3350</v>
      </c>
      <c r="G135" s="0" t="s">
        <v>3683</v>
      </c>
    </row>
    <row customHeight="1" ht="11.25">
      <c r="A136" s="0" t="s">
        <v>16</v>
      </c>
      <c r="B136" s="0" t="s">
        <v>3684</v>
      </c>
      <c r="C136" s="0" t="s">
        <v>3685</v>
      </c>
      <c r="D136" s="0" t="s">
        <v>3684</v>
      </c>
      <c r="E136" s="0" t="s">
        <v>3685</v>
      </c>
      <c r="F136" s="0" t="s">
        <v>3350</v>
      </c>
      <c r="G136" s="0" t="s">
        <v>3686</v>
      </c>
    </row>
    <row customHeight="1" ht="11.25">
      <c r="A137" s="0" t="s">
        <v>16</v>
      </c>
      <c r="B137" s="0" t="s">
        <v>3687</v>
      </c>
      <c r="C137" s="0" t="s">
        <v>3688</v>
      </c>
      <c r="D137" s="0" t="s">
        <v>3687</v>
      </c>
      <c r="E137" s="0" t="s">
        <v>3688</v>
      </c>
      <c r="F137" s="0" t="s">
        <v>3350</v>
      </c>
      <c r="G137" s="0" t="s">
        <v>3689</v>
      </c>
    </row>
    <row customHeight="1" ht="11.25">
      <c r="A138" s="0" t="s">
        <v>16</v>
      </c>
      <c r="B138" s="0" t="s">
        <v>3690</v>
      </c>
      <c r="C138" s="0" t="s">
        <v>3691</v>
      </c>
      <c r="D138" s="0" t="s">
        <v>3690</v>
      </c>
      <c r="E138" s="0" t="s">
        <v>3691</v>
      </c>
      <c r="F138" s="0" t="s">
        <v>3350</v>
      </c>
      <c r="G138" s="0" t="s">
        <v>3692</v>
      </c>
    </row>
    <row customHeight="1" ht="11.25">
      <c r="A139" s="0" t="s">
        <v>16</v>
      </c>
      <c r="B139" s="0" t="s">
        <v>3693</v>
      </c>
      <c r="C139" s="0" t="s">
        <v>3694</v>
      </c>
      <c r="D139" s="0" t="s">
        <v>3693</v>
      </c>
      <c r="E139" s="0" t="s">
        <v>3694</v>
      </c>
      <c r="F139" s="0" t="s">
        <v>3350</v>
      </c>
      <c r="G139" s="0" t="s">
        <v>3695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791451-FA27-7317-7685-339E03386E42}"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7789" width="9.140625"/>
    <col min="2" max="2" style="37789" width="84.28125" customWidth="1"/>
    <col min="3" max="3" style="37789" width="9.140625"/>
  </cols>
  <sheetData>
    <row customHeight="1" ht="11.25">
      <c r="A1" s="1461" t="s">
        <v>3720</v>
      </c>
      <c r="B1" s="1461" t="s">
        <v>3721</v>
      </c>
      <c r="C1" s="1461" t="s">
        <v>1346</v>
      </c>
    </row>
    <row customHeight="1" ht="11.25">
      <c r="A2" s="1461">
        <v>4189678</v>
      </c>
      <c r="B2" s="1461" t="s">
        <v>3722</v>
      </c>
      <c r="C2" s="1461" t="s">
        <v>3723</v>
      </c>
    </row>
    <row customHeight="1" ht="11.25">
      <c r="A3" s="1461">
        <v>4190415</v>
      </c>
      <c r="B3" s="1461" t="s">
        <v>3724</v>
      </c>
      <c r="C3" s="1461" t="s">
        <v>3723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98C922-72A1-C939-549A-BEE2CD7DB37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7794" width="38.421875" customWidth="1"/>
    <col min="2" max="5" style="37794" width="9.140625"/>
  </cols>
  <sheetData>
    <row customHeight="1" ht="15">
      <c r="A1" s="789" t="s">
        <v>3725</v>
      </c>
      <c r="B1" s="789" t="s">
        <v>3726</v>
      </c>
      <c r="C1" s="789"/>
      <c r="D1" s="789"/>
      <c r="E1" s="789"/>
    </row>
    <row customHeight="1" ht="15">
      <c r="A2" s="789"/>
      <c r="B2" s="789"/>
      <c r="C2" s="789"/>
      <c r="D2" s="789"/>
      <c r="E2" s="789"/>
    </row>
    <row customHeight="1" ht="15">
      <c r="A3" s="789"/>
      <c r="B3" s="789"/>
      <c r="C3" s="789"/>
      <c r="D3" s="789"/>
      <c r="E3" s="789"/>
    </row>
    <row customHeight="1" ht="15">
      <c r="A4" s="789"/>
      <c r="B4" s="789"/>
      <c r="C4" s="789"/>
      <c r="D4" s="789"/>
      <c r="E4" s="789"/>
    </row>
    <row customHeight="1" ht="15">
      <c r="A5" s="789"/>
      <c r="B5" s="789"/>
      <c r="C5" s="789"/>
      <c r="D5" s="789"/>
      <c r="E5" s="789"/>
    </row>
    <row customHeight="1" ht="15">
      <c r="A6" s="789"/>
      <c r="B6" s="789"/>
      <c r="C6" s="789"/>
      <c r="D6" s="789"/>
      <c r="E6" s="789"/>
    </row>
    <row customHeight="1" ht="15">
      <c r="A7" s="789"/>
      <c r="B7" s="789"/>
      <c r="C7" s="789"/>
      <c r="D7" s="789"/>
      <c r="E7" s="789"/>
    </row>
    <row customHeight="1" ht="15">
      <c r="A8" s="789"/>
      <c r="B8" s="789"/>
      <c r="C8" s="789"/>
      <c r="D8" s="789"/>
      <c r="E8" s="789"/>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AA1BB2-23F9-E104-FA58-F0A173387117}"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3727</v>
      </c>
      <c r="B1" s="0" t="b">
        <v>1</v>
      </c>
    </row>
    <row customHeight="1" ht="11.25">
      <c r="A2" s="0" t="s">
        <v>3728</v>
      </c>
      <c r="B2" s="0" t="b">
        <v>0</v>
      </c>
    </row>
    <row customHeight="1" ht="11.25">
      <c r="A3" s="0" t="s">
        <v>3729</v>
      </c>
      <c r="B3" s="0" t="b">
        <v>1</v>
      </c>
    </row>
    <row customHeight="1" ht="11.25">
      <c r="A4" s="0" t="s">
        <v>3730</v>
      </c>
      <c r="B4" s="0" t="b">
        <v>0</v>
      </c>
    </row>
    <row customHeight="1" ht="11.25">
      <c r="A5" s="0" t="s">
        <v>3731</v>
      </c>
      <c r="B5" s="0" t="b">
        <v>0</v>
      </c>
    </row>
    <row customHeight="1" ht="11.25">
      <c r="A6" s="0" t="s">
        <v>3732</v>
      </c>
      <c r="B6" s="0" t="b">
        <v>0</v>
      </c>
    </row>
    <row customHeight="1" ht="11.25">
      <c r="A7" s="0" t="s">
        <v>3733</v>
      </c>
      <c r="B7" s="0" t="b">
        <v>0</v>
      </c>
    </row>
    <row customHeight="1" ht="11.25">
      <c r="A8" s="0" t="s">
        <v>3734</v>
      </c>
      <c r="B8" s="0" t="b">
        <v>0</v>
      </c>
    </row>
    <row customHeight="1" ht="11.25">
      <c r="A9" s="0" t="s">
        <v>3735</v>
      </c>
      <c r="B9" s="0" t="b">
        <v>0</v>
      </c>
    </row>
    <row customHeight="1" ht="11.25">
      <c r="A10" s="0" t="s">
        <v>3736</v>
      </c>
      <c r="B10" s="0" t="b">
        <v>0</v>
      </c>
    </row>
    <row customHeight="1" ht="11.25">
      <c r="A11" s="0" t="s">
        <v>3737</v>
      </c>
      <c r="B11" s="0" t="b">
        <v>1</v>
      </c>
    </row>
    <row customHeight="1" ht="11.25">
      <c r="A12" s="0" t="s">
        <v>3738</v>
      </c>
      <c r="B12" s="0" t="b">
        <v>0</v>
      </c>
    </row>
    <row customHeight="1" ht="11.25">
      <c r="A13" s="0" t="s">
        <v>3739</v>
      </c>
      <c r="B13" s="0" t="b">
        <v>0</v>
      </c>
    </row>
    <row customHeight="1" ht="11.25">
      <c r="A14" s="0" t="s">
        <v>3740</v>
      </c>
      <c r="B14" s="0" t="b">
        <v>0</v>
      </c>
    </row>
    <row customHeight="1" ht="11.25">
      <c r="A15" s="0" t="s">
        <v>3741</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D4EC0D-0D6D-5439-CC51-067D84D9E94A}"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4536" width="9.140625"/>
  </cols>
  <sheetData>
    <row customHeight="1" ht="12.75">
      <c r="A1" s="689"/>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A18606-D722-BE9D-4151-8BA78EF1569F}"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34718" width="36.28125" customWidth="1"/>
    <col min="2" max="2" style="34718" width="21.140625" customWidth="1"/>
  </cols>
  <sheetData>
    <row customHeight="1" ht="11.25">
      <c r="A1" s="693" t="s">
        <v>3742</v>
      </c>
      <c r="B1" s="693" t="s">
        <v>3743</v>
      </c>
    </row>
    <row customHeight="1" ht="11.25">
      <c r="A2" s="688" t="s">
        <v>3744</v>
      </c>
      <c r="B2" s="688" t="s">
        <v>3745</v>
      </c>
    </row>
    <row customHeight="1" ht="11.25">
      <c r="A3" s="688" t="s">
        <v>3746</v>
      </c>
      <c r="B3" s="688" t="s">
        <v>3747</v>
      </c>
    </row>
    <row customHeight="1" ht="11.25">
      <c r="A4" s="688" t="s">
        <v>3748</v>
      </c>
      <c r="B4" s="688" t="s">
        <v>3749</v>
      </c>
    </row>
    <row customHeight="1" ht="11.25">
      <c r="A5" s="688" t="s">
        <v>3750</v>
      </c>
      <c r="B5" s="688" t="s">
        <v>3751</v>
      </c>
    </row>
    <row customHeight="1" ht="11.25">
      <c r="A6" s="688" t="s">
        <v>3752</v>
      </c>
      <c r="B6" s="688" t="s">
        <v>3753</v>
      </c>
    </row>
    <row customHeight="1" ht="11.25">
      <c r="A7" s="688" t="s">
        <v>3754</v>
      </c>
      <c r="B7" s="688" t="s">
        <v>3755</v>
      </c>
    </row>
    <row customHeight="1" ht="11.25">
      <c r="A8" s="688" t="s">
        <v>3756</v>
      </c>
      <c r="B8" s="688" t="s">
        <v>3757</v>
      </c>
    </row>
    <row customHeight="1" ht="11.25">
      <c r="A9" s="688" t="s">
        <v>3758</v>
      </c>
      <c r="B9" s="688" t="s">
        <v>3759</v>
      </c>
    </row>
    <row customHeight="1" ht="11.25">
      <c r="A10" s="688" t="s">
        <v>3760</v>
      </c>
      <c r="B10" s="688" t="s">
        <v>3761</v>
      </c>
    </row>
    <row customHeight="1" ht="11.25">
      <c r="A11" s="688" t="s">
        <v>3762</v>
      </c>
      <c r="B11" s="688" t="s">
        <v>3763</v>
      </c>
    </row>
    <row customHeight="1" ht="11.25">
      <c r="A12" s="688" t="s">
        <v>3764</v>
      </c>
      <c r="B12" s="688" t="s">
        <v>3765</v>
      </c>
    </row>
    <row customHeight="1" ht="11.25">
      <c r="A13" s="688" t="s">
        <v>3766</v>
      </c>
      <c r="B13" s="688" t="s">
        <v>3767</v>
      </c>
    </row>
    <row customHeight="1" ht="11.25">
      <c r="A14" s="688" t="s">
        <v>3768</v>
      </c>
      <c r="B14" s="688" t="s">
        <v>3769</v>
      </c>
    </row>
    <row customHeight="1" ht="11.25">
      <c r="A15" s="688" t="s">
        <v>3770</v>
      </c>
      <c r="B15" s="688" t="s">
        <v>3771</v>
      </c>
    </row>
    <row customHeight="1" ht="11.25">
      <c r="A16" s="688" t="s">
        <v>3772</v>
      </c>
      <c r="B16" s="688" t="s">
        <v>3773</v>
      </c>
    </row>
    <row customHeight="1" ht="11.25">
      <c r="A17" s="688" t="s">
        <v>3774</v>
      </c>
      <c r="B17" s="688" t="s">
        <v>3775</v>
      </c>
    </row>
    <row customHeight="1" ht="11.25">
      <c r="A18" s="688" t="s">
        <v>3776</v>
      </c>
      <c r="B18" s="688" t="s">
        <v>3777</v>
      </c>
    </row>
    <row customHeight="1" ht="11.25">
      <c r="A19" s="688" t="s">
        <v>3778</v>
      </c>
      <c r="B19" s="688" t="s">
        <v>3779</v>
      </c>
    </row>
    <row customHeight="1" ht="11.25">
      <c r="A20" s="688" t="s">
        <v>3780</v>
      </c>
      <c r="B20" s="688" t="s">
        <v>3781</v>
      </c>
    </row>
    <row customHeight="1" ht="11.25">
      <c r="A21" s="688" t="s">
        <v>3782</v>
      </c>
      <c r="B21" s="688" t="s">
        <v>3783</v>
      </c>
    </row>
    <row customHeight="1" ht="11.25">
      <c r="A22" s="688" t="s">
        <v>3784</v>
      </c>
      <c r="B22" s="688" t="s">
        <v>3785</v>
      </c>
    </row>
    <row customHeight="1" ht="11.25">
      <c r="A23" s="688" t="s">
        <v>3786</v>
      </c>
      <c r="B23" s="688" t="s">
        <v>3787</v>
      </c>
    </row>
    <row customHeight="1" ht="11.25">
      <c r="A24" s="688" t="s">
        <v>3788</v>
      </c>
      <c r="B24" s="688" t="s">
        <v>3789</v>
      </c>
    </row>
    <row customHeight="1" ht="11.25">
      <c r="A25" s="688" t="s">
        <v>3790</v>
      </c>
      <c r="B25" s="688" t="s">
        <v>3791</v>
      </c>
    </row>
    <row customHeight="1" ht="11.25">
      <c r="A26" s="688" t="s">
        <v>3792</v>
      </c>
      <c r="B26" s="688" t="s">
        <v>3793</v>
      </c>
    </row>
    <row customHeight="1" ht="11.25">
      <c r="A27" s="688" t="s">
        <v>3794</v>
      </c>
      <c r="B27" s="688" t="s">
        <v>3795</v>
      </c>
    </row>
    <row customHeight="1" ht="11.25">
      <c r="A28" s="688" t="s">
        <v>3796</v>
      </c>
      <c r="B28" s="688" t="s">
        <v>3797</v>
      </c>
    </row>
    <row customHeight="1" ht="11.25">
      <c r="A29" s="688" t="s">
        <v>3798</v>
      </c>
      <c r="B29" s="688" t="s">
        <v>3799</v>
      </c>
    </row>
    <row customHeight="1" ht="11.25">
      <c r="A30" s="688" t="s">
        <v>3800</v>
      </c>
      <c r="B30" s="688" t="s">
        <v>3801</v>
      </c>
    </row>
    <row customHeight="1" ht="11.25">
      <c r="A31" s="688" t="s">
        <v>3802</v>
      </c>
      <c r="B31" s="688" t="s">
        <v>3803</v>
      </c>
    </row>
    <row customHeight="1" ht="11.25">
      <c r="A32" s="688" t="s">
        <v>3804</v>
      </c>
      <c r="B32" s="688" t="s">
        <v>3805</v>
      </c>
    </row>
    <row customHeight="1" ht="11.25">
      <c r="A33" s="688" t="s">
        <v>3806</v>
      </c>
      <c r="B33" s="688" t="s">
        <v>3807</v>
      </c>
    </row>
    <row customHeight="1" ht="11.25">
      <c r="A34" s="688" t="s">
        <v>3808</v>
      </c>
      <c r="B34" s="688" t="s">
        <v>3809</v>
      </c>
    </row>
    <row customHeight="1" ht="11.25">
      <c r="A35" s="688" t="s">
        <v>3810</v>
      </c>
      <c r="B35" s="688" t="s">
        <v>3811</v>
      </c>
    </row>
    <row customHeight="1" ht="11.25">
      <c r="A36" s="688" t="s">
        <v>3812</v>
      </c>
      <c r="B36" s="688" t="s">
        <v>3813</v>
      </c>
    </row>
    <row customHeight="1" ht="11.25">
      <c r="A37" s="688" t="s">
        <v>3814</v>
      </c>
      <c r="B37" s="688" t="s">
        <v>3815</v>
      </c>
    </row>
    <row customHeight="1" ht="11.25">
      <c r="A38" s="688" t="s">
        <v>3816</v>
      </c>
      <c r="B38" s="688" t="s">
        <v>3817</v>
      </c>
    </row>
    <row customHeight="1" ht="11.25">
      <c r="A39" s="688" t="s">
        <v>3818</v>
      </c>
      <c r="B39" s="688" t="s">
        <v>3819</v>
      </c>
    </row>
    <row customHeight="1" ht="11.25">
      <c r="A40" s="688" t="s">
        <v>3820</v>
      </c>
      <c r="B40" s="688" t="s">
        <v>3821</v>
      </c>
    </row>
    <row customHeight="1" ht="11.25">
      <c r="A41" s="688" t="s">
        <v>3822</v>
      </c>
      <c r="B41" s="688" t="s">
        <v>3823</v>
      </c>
    </row>
    <row customHeight="1" ht="11.25">
      <c r="A42" s="688" t="s">
        <v>3824</v>
      </c>
      <c r="B42" s="688" t="s">
        <v>3825</v>
      </c>
    </row>
    <row customHeight="1" ht="11.25">
      <c r="A43" s="688" t="s">
        <v>3826</v>
      </c>
      <c r="B43" s="688" t="s">
        <v>3827</v>
      </c>
    </row>
    <row customHeight="1" ht="11.25">
      <c r="A44" s="688" t="s">
        <v>3828</v>
      </c>
      <c r="B44" s="688" t="s">
        <v>3829</v>
      </c>
    </row>
    <row customHeight="1" ht="11.25">
      <c r="A45" s="688" t="s">
        <v>3830</v>
      </c>
      <c r="B45" s="688" t="s">
        <v>3831</v>
      </c>
    </row>
    <row customHeight="1" ht="11.25">
      <c r="A46" s="688" t="s">
        <v>3832</v>
      </c>
      <c r="B46" s="688" t="s">
        <v>3833</v>
      </c>
    </row>
    <row customHeight="1" ht="11.25">
      <c r="A47" s="688" t="s">
        <v>3834</v>
      </c>
      <c r="B47" s="688" t="s">
        <v>3835</v>
      </c>
    </row>
    <row customHeight="1" ht="11.25">
      <c r="A48" s="688" t="s">
        <v>3836</v>
      </c>
      <c r="B48" s="688" t="s">
        <v>3837</v>
      </c>
    </row>
    <row customHeight="1" ht="11.25">
      <c r="A49" s="688" t="s">
        <v>3838</v>
      </c>
      <c r="B49" s="688" t="s">
        <v>3839</v>
      </c>
    </row>
    <row customHeight="1" ht="11.25">
      <c r="A50" s="688" t="s">
        <v>3840</v>
      </c>
      <c r="B50" s="688" t="s">
        <v>3841</v>
      </c>
    </row>
    <row customHeight="1" ht="11.25">
      <c r="A51" s="688" t="s">
        <v>3842</v>
      </c>
      <c r="B51" s="688" t="s">
        <v>3843</v>
      </c>
    </row>
    <row customHeight="1" ht="11.25">
      <c r="A52" s="688" t="s">
        <v>3844</v>
      </c>
      <c r="B52" s="688" t="s">
        <v>3845</v>
      </c>
    </row>
    <row customHeight="1" ht="11.25">
      <c r="A53" s="688" t="s">
        <v>3846</v>
      </c>
      <c r="B53" s="688" t="s">
        <v>3847</v>
      </c>
    </row>
    <row customHeight="1" ht="11.25">
      <c r="A54" s="688" t="s">
        <v>3848</v>
      </c>
      <c r="B54" s="688" t="s">
        <v>3849</v>
      </c>
    </row>
    <row customHeight="1" ht="11.25">
      <c r="A55" s="688" t="s">
        <v>3850</v>
      </c>
      <c r="B55" s="688" t="s">
        <v>3851</v>
      </c>
    </row>
    <row customHeight="1" ht="11.25">
      <c r="A56" s="688" t="s">
        <v>3852</v>
      </c>
      <c r="B56" s="688" t="s">
        <v>3853</v>
      </c>
    </row>
    <row customHeight="1" ht="11.25">
      <c r="A57" s="688" t="s">
        <v>3854</v>
      </c>
      <c r="B57" s="688" t="s">
        <v>3855</v>
      </c>
    </row>
    <row customHeight="1" ht="11.25">
      <c r="A58" s="688" t="s">
        <v>3856</v>
      </c>
      <c r="B58" s="688" t="s">
        <v>3857</v>
      </c>
    </row>
    <row customHeight="1" ht="11.25">
      <c r="A59" s="688" t="s">
        <v>3858</v>
      </c>
      <c r="B59" s="688" t="s">
        <v>3859</v>
      </c>
    </row>
    <row customHeight="1" ht="11.25">
      <c r="A60" s="688" t="s">
        <v>3860</v>
      </c>
      <c r="B60" s="688" t="s">
        <v>3861</v>
      </c>
    </row>
    <row customHeight="1" ht="11.25">
      <c r="A61" s="688"/>
      <c r="B61" s="688" t="s">
        <v>3862</v>
      </c>
    </row>
    <row customHeight="1" ht="11.25">
      <c r="A62" s="688"/>
      <c r="B62" s="688" t="s">
        <v>3863</v>
      </c>
    </row>
    <row customHeight="1" ht="11.25">
      <c r="A63" s="688"/>
      <c r="B63" s="688" t="s">
        <v>3864</v>
      </c>
    </row>
    <row customHeight="1" ht="11.25">
      <c r="A64" s="688"/>
      <c r="B64" s="688" t="s">
        <v>3865</v>
      </c>
    </row>
    <row customHeight="1" ht="11.25">
      <c r="A65" s="688"/>
      <c r="B65" s="688" t="s">
        <v>3866</v>
      </c>
    </row>
    <row customHeight="1" ht="11.25">
      <c r="A66" s="688"/>
      <c r="B66" s="688" t="s">
        <v>3867</v>
      </c>
    </row>
    <row customHeight="1" ht="11.25">
      <c r="A67" s="688"/>
      <c r="B67" s="688" t="s">
        <v>3868</v>
      </c>
    </row>
    <row customHeight="1" ht="11.25">
      <c r="A68" s="688"/>
      <c r="B68" s="688" t="s">
        <v>3869</v>
      </c>
    </row>
    <row customHeight="1" ht="11.25">
      <c r="A69" s="688"/>
      <c r="B69" s="688" t="s">
        <v>3870</v>
      </c>
    </row>
    <row customHeight="1" ht="11.25">
      <c r="A70" s="688"/>
      <c r="B70" s="688" t="s">
        <v>3871</v>
      </c>
    </row>
    <row customHeight="1" ht="11.25">
      <c r="A71" s="688"/>
      <c r="B71" s="688"/>
    </row>
    <row customHeight="1" ht="11.25">
      <c r="A72" s="688"/>
      <c r="B72" s="688"/>
    </row>
    <row customHeight="1" ht="11.25">
      <c r="A73" s="688"/>
      <c r="B73" s="688"/>
    </row>
    <row customHeight="1" ht="11.25">
      <c r="A74" s="688"/>
      <c r="B74" s="688"/>
    </row>
    <row customHeight="1" ht="11.25">
      <c r="A75" s="688"/>
      <c r="B75" s="688"/>
    </row>
    <row customHeight="1" ht="11.25">
      <c r="A76" s="688"/>
      <c r="B76" s="688"/>
    </row>
    <row customHeight="1" ht="11.25">
      <c r="A77" s="688"/>
      <c r="B77" s="688"/>
    </row>
    <row customHeight="1" ht="11.25">
      <c r="A78" s="688"/>
      <c r="B78" s="688"/>
    </row>
    <row customHeight="1" ht="11.25">
      <c r="A79" s="688"/>
      <c r="B79" s="688"/>
    </row>
    <row customHeight="1" ht="11.25">
      <c r="A80" s="688"/>
      <c r="B80" s="688"/>
    </row>
    <row customHeight="1" ht="11.25">
      <c r="A81" s="688"/>
      <c r="B81" s="688"/>
    </row>
    <row customHeight="1" ht="11.25">
      <c r="A82" s="688"/>
      <c r="B82" s="688"/>
    </row>
    <row customHeight="1" ht="11.25">
      <c r="A83" s="688"/>
      <c r="B83" s="688"/>
    </row>
    <row customHeight="1" ht="11.25">
      <c r="A84" s="688"/>
      <c r="B84" s="688"/>
    </row>
    <row customHeight="1" ht="11.25">
      <c r="A85" s="688"/>
      <c r="B85" s="688"/>
    </row>
    <row customHeight="1" ht="11.25">
      <c r="A86" s="688"/>
      <c r="B86" s="688"/>
    </row>
    <row customHeight="1" ht="11.25">
      <c r="A87" s="688"/>
      <c r="B87" s="688"/>
    </row>
    <row customHeight="1" ht="11.25">
      <c r="A88" s="688"/>
      <c r="B88" s="688"/>
    </row>
    <row customHeight="1" ht="11.25">
      <c r="A89" s="688"/>
      <c r="B89" s="688"/>
    </row>
    <row customHeight="1" ht="11.25">
      <c r="A90" s="688"/>
      <c r="B90" s="688"/>
    </row>
    <row customHeight="1" ht="11.25">
      <c r="A91" s="688"/>
      <c r="B91" s="688"/>
    </row>
    <row customHeight="1" ht="11.25">
      <c r="A92" s="688"/>
      <c r="B92" s="688"/>
    </row>
    <row customHeight="1" ht="11.25">
      <c r="A93" s="688"/>
      <c r="B93" s="688"/>
    </row>
    <row customHeight="1" ht="11.25">
      <c r="A94" s="688"/>
      <c r="B94" s="688"/>
    </row>
    <row customHeight="1" ht="11.25">
      <c r="A95" s="688"/>
      <c r="B95" s="688"/>
    </row>
    <row customHeight="1" ht="11.25">
      <c r="A96" s="688"/>
      <c r="B96" s="688"/>
    </row>
    <row customHeight="1" ht="11.25">
      <c r="A97" s="688"/>
      <c r="B97" s="688"/>
    </row>
    <row customHeight="1" ht="11.25">
      <c r="A98" s="688"/>
      <c r="B98" s="688"/>
    </row>
    <row customHeight="1" ht="11.25">
      <c r="A99" s="688"/>
      <c r="B99" s="688"/>
    </row>
    <row customHeight="1" ht="11.25">
      <c r="A100" s="688"/>
      <c r="B100" s="688"/>
    </row>
    <row customHeight="1" ht="11.25">
      <c r="A101" s="688"/>
      <c r="B101" s="688"/>
    </row>
    <row customHeight="1" ht="11.25">
      <c r="A102" s="688"/>
      <c r="B102" s="688"/>
    </row>
    <row customHeight="1" ht="11.25">
      <c r="A103" s="688"/>
      <c r="B103" s="688"/>
    </row>
    <row customHeight="1" ht="11.25">
      <c r="A104" s="688"/>
      <c r="B104" s="688"/>
    </row>
    <row customHeight="1" ht="11.25">
      <c r="A105" s="688"/>
      <c r="B105" s="688"/>
    </row>
    <row customHeight="1" ht="11.25">
      <c r="A106" s="688"/>
      <c r="B106" s="688"/>
    </row>
    <row customHeight="1" ht="11.25">
      <c r="A107" s="688"/>
      <c r="B107" s="688"/>
    </row>
    <row customHeight="1" ht="11.25">
      <c r="A108" s="688"/>
      <c r="B108" s="688"/>
    </row>
    <row customHeight="1" ht="11.25">
      <c r="A109" s="688"/>
      <c r="B109" s="688"/>
    </row>
    <row customHeight="1" ht="11.25">
      <c r="A110" s="688"/>
      <c r="B110" s="688"/>
    </row>
    <row customHeight="1" ht="11.25">
      <c r="A111" s="688"/>
      <c r="B111" s="688"/>
    </row>
    <row customHeight="1" ht="11.25">
      <c r="A112" s="688"/>
      <c r="B112" s="688"/>
    </row>
    <row customHeight="1" ht="11.25">
      <c r="A113" s="688"/>
      <c r="B113" s="688"/>
    </row>
    <row customHeight="1" ht="11.25">
      <c r="A114" s="688"/>
      <c r="B114" s="688"/>
    </row>
    <row customHeight="1" ht="11.25">
      <c r="A115" s="688"/>
      <c r="B115" s="688"/>
    </row>
    <row customHeight="1" ht="11.25">
      <c r="A116" s="688"/>
      <c r="B116" s="688"/>
    </row>
    <row customHeight="1" ht="11.25">
      <c r="A117" s="688"/>
      <c r="B117" s="688"/>
    </row>
    <row customHeight="1" ht="11.25">
      <c r="A118" s="688"/>
      <c r="B118" s="688"/>
    </row>
    <row customHeight="1" ht="11.25">
      <c r="A119" s="688"/>
      <c r="B119" s="688"/>
    </row>
    <row customHeight="1" ht="11.25">
      <c r="A120" s="688"/>
      <c r="B120" s="688"/>
    </row>
    <row customHeight="1" ht="11.25">
      <c r="A121" s="688"/>
      <c r="B121" s="688"/>
    </row>
    <row customHeight="1" ht="11.25">
      <c r="A122" s="688"/>
      <c r="B122" s="688"/>
    </row>
    <row customHeight="1" ht="11.25">
      <c r="A123" s="688"/>
      <c r="B123" s="688"/>
    </row>
    <row customHeight="1" ht="11.25">
      <c r="A124" s="688"/>
      <c r="B124" s="688"/>
    </row>
    <row customHeight="1" ht="11.25">
      <c r="A125" s="688"/>
      <c r="B125" s="688"/>
    </row>
    <row customHeight="1" ht="11.25">
      <c r="A126" s="688"/>
      <c r="B126" s="688"/>
    </row>
    <row customHeight="1" ht="11.25">
      <c r="A127" s="688"/>
      <c r="B127" s="688"/>
    </row>
    <row customHeight="1" ht="11.25">
      <c r="A128" s="688"/>
      <c r="B128" s="688"/>
    </row>
    <row customHeight="1" ht="11.25">
      <c r="A129" s="688"/>
      <c r="B129" s="688"/>
    </row>
    <row customHeight="1" ht="11.25">
      <c r="A130" s="688"/>
      <c r="B130" s="688"/>
    </row>
    <row customHeight="1" ht="11.25">
      <c r="A131" s="688"/>
      <c r="B131" s="688"/>
    </row>
    <row customHeight="1" ht="11.25">
      <c r="A132" s="688"/>
      <c r="B132" s="688"/>
    </row>
    <row customHeight="1" ht="11.25">
      <c r="A133" s="688"/>
      <c r="B133" s="688"/>
    </row>
    <row customHeight="1" ht="11.25">
      <c r="A134" s="688"/>
      <c r="B134" s="688"/>
    </row>
    <row customHeight="1" ht="11.25">
      <c r="A135" s="688"/>
      <c r="B135" s="688"/>
    </row>
    <row customHeight="1" ht="11.25">
      <c r="A136" s="688"/>
      <c r="B136" s="688"/>
    </row>
    <row customHeight="1" ht="11.25">
      <c r="A137" s="688"/>
      <c r="B137" s="688"/>
    </row>
    <row customHeight="1" ht="11.25">
      <c r="A138" s="688"/>
      <c r="B138" s="688"/>
    </row>
    <row customHeight="1" ht="11.25">
      <c r="A139" s="688"/>
      <c r="B139" s="688"/>
    </row>
    <row customHeight="1" ht="11.25">
      <c r="A140" s="688"/>
      <c r="B140" s="688"/>
    </row>
    <row customHeight="1" ht="11.25">
      <c r="A141" s="688"/>
      <c r="B141" s="688"/>
    </row>
    <row customHeight="1" ht="11.25">
      <c r="A142" s="688"/>
      <c r="B142" s="688"/>
    </row>
    <row customHeight="1" ht="11.25">
      <c r="A143" s="688"/>
      <c r="B143" s="688"/>
    </row>
    <row customHeight="1" ht="11.25">
      <c r="A144" s="688"/>
      <c r="B144" s="688"/>
    </row>
    <row customHeight="1" ht="11.25">
      <c r="A145" s="688"/>
      <c r="B145" s="688"/>
    </row>
    <row customHeight="1" ht="11.25">
      <c r="A146" s="688"/>
      <c r="B146" s="688"/>
    </row>
    <row customHeight="1" ht="11.25">
      <c r="A147" s="688"/>
      <c r="B147" s="688"/>
    </row>
    <row customHeight="1" ht="11.25">
      <c r="A148" s="688"/>
      <c r="B148" s="688"/>
    </row>
    <row customHeight="1" ht="11.25">
      <c r="A149" s="688"/>
      <c r="B149" s="688"/>
    </row>
    <row customHeight="1" ht="11.25">
      <c r="A150" s="688"/>
      <c r="B150" s="688"/>
    </row>
    <row customHeight="1" ht="11.25">
      <c r="A151" s="688"/>
      <c r="B151" s="688"/>
    </row>
    <row customHeight="1" ht="11.25">
      <c r="A152" s="688"/>
      <c r="B152" s="688"/>
    </row>
    <row customHeight="1" ht="11.25">
      <c r="A153" s="688"/>
      <c r="B153" s="688"/>
    </row>
    <row customHeight="1" ht="11.25">
      <c r="A154" s="688"/>
      <c r="B154" s="688"/>
    </row>
    <row customHeight="1" ht="11.25">
      <c r="A155" s="688"/>
      <c r="B155" s="688"/>
    </row>
    <row customHeight="1" ht="11.25">
      <c r="A156" s="688"/>
      <c r="B156" s="688"/>
    </row>
    <row customHeight="1" ht="11.25">
      <c r="A157" s="688"/>
      <c r="B157" s="688"/>
    </row>
    <row customHeight="1" ht="11.25">
      <c r="A158" s="688"/>
      <c r="B158" s="688"/>
    </row>
    <row customHeight="1" ht="11.25">
      <c r="A159" s="688"/>
      <c r="B159" s="688"/>
    </row>
    <row customHeight="1" ht="11.25">
      <c r="A160" s="688"/>
      <c r="B160" s="688"/>
    </row>
    <row customHeight="1" ht="11.25">
      <c r="A161" s="688"/>
      <c r="B161" s="688"/>
    </row>
    <row customHeight="1" ht="11.25">
      <c r="A162" s="688"/>
      <c r="B162" s="688"/>
    </row>
    <row customHeight="1" ht="11.25">
      <c r="A163" s="688"/>
      <c r="B163" s="688"/>
    </row>
    <row customHeight="1" ht="11.25">
      <c r="A164" s="688"/>
      <c r="B164" s="688"/>
    </row>
    <row customHeight="1" ht="11.25">
      <c r="A165" s="688"/>
      <c r="B165" s="688"/>
    </row>
    <row customHeight="1" ht="11.25">
      <c r="A166" s="688"/>
      <c r="B166" s="688"/>
    </row>
    <row customHeight="1" ht="11.25">
      <c r="A167" s="688"/>
      <c r="B167" s="688"/>
    </row>
    <row customHeight="1" ht="11.25">
      <c r="A168" s="688"/>
      <c r="B168" s="688"/>
    </row>
    <row customHeight="1" ht="11.25">
      <c r="A169" s="688"/>
      <c r="B169" s="688"/>
    </row>
    <row customHeight="1" ht="11.25">
      <c r="A170" s="688"/>
      <c r="B170" s="688"/>
    </row>
    <row customHeight="1" ht="11.25">
      <c r="A171" s="688"/>
      <c r="B171" s="688"/>
    </row>
    <row customHeight="1" ht="11.25">
      <c r="A172" s="688"/>
      <c r="B172" s="688"/>
    </row>
    <row customHeight="1" ht="11.25">
      <c r="A173" s="688"/>
      <c r="B173" s="688"/>
    </row>
    <row customHeight="1" ht="11.25">
      <c r="A174" s="688"/>
      <c r="B174" s="688"/>
    </row>
    <row customHeight="1" ht="11.25">
      <c r="A175" s="688"/>
      <c r="B175" s="688"/>
    </row>
    <row customHeight="1" ht="11.25">
      <c r="A176" s="688"/>
      <c r="B176" s="688"/>
    </row>
    <row customHeight="1" ht="11.25">
      <c r="A177" s="688"/>
      <c r="B177" s="688"/>
    </row>
    <row customHeight="1" ht="11.25">
      <c r="A178" s="688"/>
      <c r="B178" s="688"/>
    </row>
    <row customHeight="1" ht="11.25">
      <c r="A179" s="688"/>
      <c r="B179" s="688"/>
    </row>
    <row customHeight="1" ht="11.25">
      <c r="A180" s="688"/>
      <c r="B180" s="688"/>
    </row>
    <row customHeight="1" ht="11.25">
      <c r="A181" s="688"/>
      <c r="B181" s="688"/>
    </row>
    <row customHeight="1" ht="11.25">
      <c r="A182" s="688"/>
      <c r="B182" s="688"/>
    </row>
    <row customHeight="1" ht="11.25">
      <c r="A183" s="688"/>
      <c r="B183" s="688"/>
    </row>
    <row customHeight="1" ht="11.25">
      <c r="A184" s="688"/>
      <c r="B184" s="688"/>
    </row>
    <row customHeight="1" ht="11.25">
      <c r="A185" s="688"/>
      <c r="B185" s="688"/>
    </row>
    <row customHeight="1" ht="11.25">
      <c r="A186" s="688"/>
      <c r="B186" s="688"/>
    </row>
    <row customHeight="1" ht="11.25">
      <c r="A187" s="688"/>
      <c r="B187" s="688"/>
    </row>
    <row customHeight="1" ht="11.25">
      <c r="A188" s="688"/>
      <c r="B188" s="688"/>
    </row>
    <row customHeight="1" ht="11.25">
      <c r="A189" s="688"/>
      <c r="B189" s="688"/>
    </row>
    <row customHeight="1" ht="11.25">
      <c r="A190" s="688"/>
      <c r="B190" s="688"/>
    </row>
    <row customHeight="1" ht="11.25">
      <c r="A191" s="688"/>
      <c r="B191" s="688"/>
    </row>
    <row customHeight="1" ht="11.25">
      <c r="A192" s="688"/>
      <c r="B192" s="688"/>
    </row>
    <row customHeight="1" ht="11.25">
      <c r="A193" s="688"/>
      <c r="B193" s="688"/>
    </row>
    <row customHeight="1" ht="11.25">
      <c r="A194" s="688"/>
      <c r="B194" s="688"/>
    </row>
    <row customHeight="1" ht="11.25">
      <c r="A195" s="688"/>
      <c r="B195" s="688"/>
    </row>
    <row customHeight="1" ht="11.25">
      <c r="A196" s="688"/>
      <c r="B196" s="688"/>
    </row>
    <row customHeight="1" ht="11.25">
      <c r="A197" s="688"/>
      <c r="B197" s="688"/>
    </row>
    <row customHeight="1" ht="11.25">
      <c r="A198" s="688"/>
      <c r="B198" s="688"/>
    </row>
    <row customHeight="1" ht="11.25">
      <c r="A199" s="688"/>
      <c r="B199" s="688"/>
    </row>
    <row customHeight="1" ht="11.25">
      <c r="A200" s="688"/>
      <c r="B200" s="688"/>
    </row>
    <row customHeight="1" ht="11.25">
      <c r="A201" s="688"/>
      <c r="B201" s="688"/>
    </row>
    <row customHeight="1" ht="11.25">
      <c r="A202" s="688"/>
      <c r="B202" s="688"/>
    </row>
    <row customHeight="1" ht="11.25">
      <c r="A203" s="688"/>
      <c r="B203" s="688"/>
    </row>
    <row customHeight="1" ht="11.25">
      <c r="A204" s="688"/>
      <c r="B204" s="688"/>
    </row>
    <row customHeight="1" ht="11.25">
      <c r="A205" s="688"/>
      <c r="B205" s="688"/>
    </row>
    <row customHeight="1" ht="11.25">
      <c r="A206" s="688"/>
      <c r="B206" s="688"/>
    </row>
    <row customHeight="1" ht="11.25">
      <c r="A207" s="688"/>
      <c r="B207" s="688"/>
    </row>
    <row customHeight="1" ht="11.25">
      <c r="A208" s="688"/>
      <c r="B208" s="688"/>
    </row>
    <row customHeight="1" ht="11.25">
      <c r="A209" s="688"/>
      <c r="B209" s="688"/>
    </row>
    <row customHeight="1" ht="11.25">
      <c r="A210" s="688"/>
      <c r="B210" s="688"/>
    </row>
    <row customHeight="1" ht="11.25">
      <c r="A211" s="688"/>
      <c r="B211" s="688"/>
    </row>
    <row customHeight="1" ht="11.25">
      <c r="A212" s="688"/>
      <c r="B212" s="688"/>
    </row>
    <row customHeight="1" ht="11.25">
      <c r="A213" s="688"/>
      <c r="B213" s="688"/>
    </row>
    <row customHeight="1" ht="11.25">
      <c r="A214" s="688"/>
      <c r="B214" s="688"/>
    </row>
    <row customHeight="1" ht="11.25">
      <c r="A215" s="688"/>
      <c r="B215" s="688"/>
    </row>
    <row customHeight="1" ht="11.25">
      <c r="A216" s="688"/>
      <c r="B216" s="688"/>
    </row>
    <row customHeight="1" ht="11.25">
      <c r="A217" s="688"/>
      <c r="B217" s="688"/>
    </row>
    <row customHeight="1" ht="11.25">
      <c r="A218" s="688"/>
      <c r="B218" s="688"/>
    </row>
    <row customHeight="1" ht="11.25">
      <c r="A219" s="688"/>
      <c r="B219" s="688"/>
    </row>
    <row customHeight="1" ht="11.25">
      <c r="A220" s="688"/>
      <c r="B220" s="688"/>
    </row>
    <row customHeight="1" ht="11.25">
      <c r="A221" s="688"/>
      <c r="B221" s="688"/>
    </row>
    <row customHeight="1" ht="11.25">
      <c r="A222" s="688"/>
      <c r="B222" s="688"/>
    </row>
    <row customHeight="1" ht="11.25">
      <c r="A223" s="688"/>
      <c r="B223" s="688"/>
    </row>
    <row customHeight="1" ht="11.25">
      <c r="A224" s="688"/>
      <c r="B224" s="688"/>
    </row>
    <row customHeight="1" ht="11.25">
      <c r="A225" s="688"/>
      <c r="B225" s="688"/>
    </row>
    <row customHeight="1" ht="11.25">
      <c r="A226" s="688"/>
      <c r="B226" s="688"/>
    </row>
    <row customHeight="1" ht="11.25">
      <c r="A227" s="688"/>
      <c r="B227" s="688"/>
    </row>
    <row customHeight="1" ht="11.25">
      <c r="A228" s="688"/>
      <c r="B228" s="688"/>
    </row>
    <row customHeight="1" ht="11.25">
      <c r="A229" s="688"/>
      <c r="B229" s="688"/>
    </row>
    <row customHeight="1" ht="11.25">
      <c r="A230" s="688"/>
      <c r="B230" s="688"/>
    </row>
    <row customHeight="1" ht="11.25">
      <c r="A231" s="688"/>
      <c r="B231" s="688"/>
    </row>
    <row customHeight="1" ht="11.25">
      <c r="A232" s="688"/>
      <c r="B232" s="688"/>
    </row>
    <row customHeight="1" ht="11.25">
      <c r="A233" s="688"/>
      <c r="B233" s="688"/>
    </row>
    <row customHeight="1" ht="11.25">
      <c r="A234" s="688"/>
      <c r="B234" s="688"/>
    </row>
    <row customHeight="1" ht="11.25">
      <c r="A235" s="688"/>
      <c r="B235" s="688"/>
    </row>
    <row customHeight="1" ht="11.25">
      <c r="A236" s="688"/>
      <c r="B236" s="688"/>
    </row>
    <row customHeight="1" ht="11.25">
      <c r="A237" s="688"/>
      <c r="B237" s="688"/>
    </row>
    <row customHeight="1" ht="11.25">
      <c r="A238" s="688"/>
      <c r="B238" s="688"/>
    </row>
    <row customHeight="1" ht="11.25">
      <c r="A239" s="688"/>
      <c r="B239" s="688"/>
    </row>
    <row customHeight="1" ht="11.25">
      <c r="A240" s="688"/>
      <c r="B240" s="688"/>
    </row>
    <row customHeight="1" ht="11.25">
      <c r="A241" s="688"/>
      <c r="B241" s="688"/>
    </row>
    <row customHeight="1" ht="11.25">
      <c r="A242" s="688"/>
      <c r="B242" s="688"/>
    </row>
    <row customHeight="1" ht="11.25">
      <c r="A243" s="688"/>
      <c r="B243" s="688"/>
    </row>
    <row customHeight="1" ht="11.25">
      <c r="A244" s="688"/>
      <c r="B244" s="688"/>
    </row>
    <row customHeight="1" ht="11.25">
      <c r="A245" s="688"/>
      <c r="B245" s="688"/>
    </row>
    <row customHeight="1" ht="11.25">
      <c r="A246" s="688"/>
      <c r="B246" s="688"/>
    </row>
    <row customHeight="1" ht="11.25">
      <c r="A247" s="688"/>
      <c r="B247" s="688"/>
    </row>
    <row customHeight="1" ht="11.25">
      <c r="A248" s="688"/>
      <c r="B248" s="688"/>
    </row>
    <row customHeight="1" ht="11.25">
      <c r="A249" s="688"/>
      <c r="B249" s="688"/>
    </row>
    <row customHeight="1" ht="11.25">
      <c r="A250" s="688"/>
      <c r="B250" s="688"/>
    </row>
    <row customHeight="1" ht="11.25">
      <c r="A251" s="688"/>
      <c r="B251" s="688"/>
    </row>
    <row customHeight="1" ht="11.25">
      <c r="A252" s="688"/>
      <c r="B252" s="688"/>
    </row>
    <row customHeight="1" ht="11.25">
      <c r="A253" s="688"/>
      <c r="B253" s="688"/>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DE20D6-5711-86A4-3C49-5AC6B46B608B}"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34718" width="3.7109375" customWidth="1"/>
    <col min="2" max="2" style="34718" width="90.7109375" customWidth="1"/>
    <col min="3" max="4" style="34718" width="9.140625"/>
  </cols>
  <sheetData>
    <row customHeight="1" ht="11.25">
      <c r="B1" s="719" t="s">
        <v>3872</v>
      </c>
    </row>
    <row customHeight="1" ht="90">
      <c r="B2" s="720" t="s">
        <v>3873</v>
      </c>
    </row>
    <row customHeight="1" ht="67.5">
      <c r="B3" s="720" t="s">
        <v>3874</v>
      </c>
    </row>
    <row customHeight="1" ht="33.75">
      <c r="B4" s="720" t="s">
        <v>3875</v>
      </c>
    </row>
    <row customHeight="1" ht="11.25">
      <c r="B5" s="720" t="s">
        <v>3876</v>
      </c>
    </row>
    <row customHeight="1" ht="22.5">
      <c r="B6" s="720" t="s">
        <v>3877</v>
      </c>
    </row>
    <row customHeight="1" ht="22.5">
      <c r="B7" s="720" t="s">
        <v>3878</v>
      </c>
    </row>
    <row customHeight="1" ht="22.5">
      <c r="B8" s="720" t="s">
        <v>3879</v>
      </c>
    </row>
    <row customHeight="1" ht="22.5">
      <c r="B9" s="720" t="s">
        <v>3880</v>
      </c>
    </row>
    <row customHeight="1" ht="56.25">
      <c r="B10" s="720" t="s">
        <v>3881</v>
      </c>
    </row>
    <row customHeight="1" ht="12.75">
      <c r="B11" s="785" t="s">
        <v>3882</v>
      </c>
    </row>
    <row customHeight="1" ht="11.25">
      <c r="B12" s="719" t="s">
        <v>3883</v>
      </c>
    </row>
    <row customHeight="1" ht="22.5">
      <c r="B13" s="720" t="s">
        <v>3884</v>
      </c>
    </row>
    <row customHeight="1" ht="67.5">
      <c r="B14" s="720" t="s">
        <v>3885</v>
      </c>
    </row>
    <row customHeight="1" ht="22.5">
      <c r="B15" s="720" t="s">
        <v>3886</v>
      </c>
    </row>
    <row customHeight="1" ht="11.25">
      <c r="B16" s="719" t="s">
        <v>3887</v>
      </c>
      <c r="D16" s="726"/>
    </row>
    <row customHeight="1" ht="33.75">
      <c r="B17" s="720" t="s">
        <v>3888</v>
      </c>
    </row>
    <row customHeight="1" ht="33.75">
      <c r="B18" s="720" t="s">
        <v>3889</v>
      </c>
    </row>
    <row customHeight="1" ht="11.25">
      <c r="B19" s="720" t="s">
        <v>3890</v>
      </c>
    </row>
    <row customHeight="1" ht="33.75">
      <c r="B20" s="720" t="s">
        <v>3891</v>
      </c>
    </row>
    <row customHeight="1" ht="11.25">
      <c r="B21" s="719" t="s">
        <v>3892</v>
      </c>
    </row>
    <row customHeight="1" ht="11.25">
      <c r="B22" s="720" t="s">
        <v>3893</v>
      </c>
    </row>
    <row r="24" customHeight="1" ht="22.5">
      <c r="B24" s="787" t="s">
        <v>3894</v>
      </c>
    </row>
    <row r="26" customHeight="1" ht="11.25">
      <c r="B26" s="719" t="s">
        <v>3895</v>
      </c>
    </row>
    <row customHeight="1" ht="22.5">
      <c r="B27" s="786" t="s">
        <v>414</v>
      </c>
    </row>
    <row customHeight="1" ht="56.25">
      <c r="B28" s="786" t="s">
        <v>3896</v>
      </c>
    </row>
    <row customHeight="1" ht="11.25">
      <c r="B29" s="836" t="s">
        <v>3897</v>
      </c>
    </row>
    <row customHeight="1" ht="22.5">
      <c r="B30" s="786" t="s">
        <v>3898</v>
      </c>
    </row>
    <row r="32" customHeight="1" ht="11.25">
      <c r="A32" s="814"/>
      <c r="B32" s="815" t="s">
        <v>3899</v>
      </c>
    </row>
    <row customHeight="1" ht="14.25">
      <c r="A33" s="816">
        <v>1</v>
      </c>
      <c r="B33" s="817" t="s">
        <v>3900</v>
      </c>
    </row>
    <row customHeight="1" ht="14.25">
      <c r="A34" s="816">
        <v>2</v>
      </c>
      <c r="B34" s="817" t="s">
        <v>3901</v>
      </c>
    </row>
    <row customHeight="1" ht="11.25">
      <c r="B35" s="815" t="s">
        <v>3902</v>
      </c>
    </row>
    <row customHeight="1" ht="11.25">
      <c r="B36" s="817" t="s">
        <v>3903</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C89E49-E477-01B5-4D8F-41BFF4148B22}"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34544" width="9.140625" hidden="1" customWidth="1"/>
    <col min="2" max="2" style="34580" width="9.140625" hidden="1" customWidth="1"/>
    <col min="3" max="3" style="34756" width="3.00390625" customWidth="1"/>
    <col min="4" max="4" style="34580" width="5.00390625" customWidth="1"/>
    <col min="5" max="5" style="34580" width="38.00390625" customWidth="1"/>
    <col min="6" max="7" style="34580" width="3.00390625" customWidth="1"/>
    <col min="8" max="8" style="34580" width="38.00390625" customWidth="1"/>
    <col min="9" max="9" style="34580" width="35.00390625" customWidth="1"/>
    <col min="10" max="10" style="34580" width="103.00390625" customWidth="1"/>
    <col min="11" max="11" style="34673" width="3.00390625" customWidth="1"/>
    <col min="12" max="14" style="34658" width="10.00390625" customWidth="1"/>
    <col min="15" max="15" style="34658" width="13.00390625" customWidth="1"/>
    <col min="16" max="16" style="34658" width="15.00390625" customWidth="1"/>
    <col min="17" max="17" style="34658" width="16.00390625" customWidth="1"/>
    <col min="18" max="21" style="34658" width="10.00390625" customWidth="1"/>
    <col min="22" max="22" style="34580" width="10.57421875" hidden="1"/>
  </cols>
  <sheetData>
    <row customHeight="1" ht="22.5" hidden="1">
      <c r="E1" s="1038"/>
      <c r="F1" s="1038"/>
      <c r="G1" s="1038"/>
      <c r="H1" s="2843" t="s">
        <v>370</v>
      </c>
      <c r="I1" s="2843"/>
      <c r="V1" s="2233" t="s">
        <v>14</v>
      </c>
    </row>
    <row s="34580" customFormat="1" customHeight="1" ht="14.25" hidden="1">
      <c r="C2" s="2245"/>
      <c r="D2" s="2859" t="s">
        <v>118</v>
      </c>
      <c r="E2" s="2861"/>
      <c r="F2" s="2251"/>
      <c r="G2" s="2246" t="s">
        <v>118</v>
      </c>
      <c r="H2" s="2249"/>
      <c r="I2" s="2247"/>
      <c r="L2" s="2248"/>
      <c r="M2" s="2248"/>
      <c r="N2" s="2248"/>
      <c r="O2" s="2248" t="s">
        <v>400</v>
      </c>
      <c r="P2" s="2248"/>
      <c r="Q2" s="2248"/>
      <c r="R2" s="2250" t="s">
        <v>399</v>
      </c>
      <c r="S2" s="2250" t="s">
        <v>399</v>
      </c>
      <c r="T2" s="2248"/>
      <c r="U2" s="2248"/>
      <c r="V2" s="2244">
        <v>0</v>
      </c>
    </row>
    <row s="34580" customFormat="1" customHeight="1" ht="14.25" hidden="1">
      <c r="C3" s="2245"/>
      <c r="D3" s="2860"/>
      <c r="E3" s="2862"/>
      <c r="F3" s="1031"/>
      <c r="G3" s="1495"/>
      <c r="H3" s="1495" t="s">
        <v>401</v>
      </c>
      <c r="I3" s="939"/>
      <c r="L3" s="2248"/>
      <c r="M3" s="2248"/>
      <c r="N3" s="2248"/>
      <c r="O3" s="2248"/>
      <c r="P3" s="2248"/>
      <c r="Q3" s="2248"/>
      <c r="R3" s="2250"/>
      <c r="S3" s="2250"/>
      <c r="T3" s="2248"/>
      <c r="U3" s="2248"/>
      <c r="V3" s="2244">
        <v>0</v>
      </c>
    </row>
    <row customHeight="1" ht="14.25" hidden="1">
      <c r="V4" s="2233">
        <v>0</v>
      </c>
    </row>
    <row s="35156" customFormat="1" customHeight="1" ht="5.25">
      <c r="C5" s="1327"/>
      <c r="D5" s="1328"/>
      <c r="E5" s="1328"/>
      <c r="F5" s="1328"/>
      <c r="G5" s="1328"/>
      <c r="H5" s="1328" t="s">
        <v>374</v>
      </c>
      <c r="I5" s="1328"/>
      <c r="J5" s="1328"/>
      <c r="L5" s="2240"/>
      <c r="M5" s="2240"/>
      <c r="N5" s="2240"/>
      <c r="O5" s="2240"/>
      <c r="P5" s="2240"/>
      <c r="Q5" s="2240"/>
      <c r="R5" s="2240"/>
      <c r="S5" s="2240"/>
      <c r="T5" s="2240"/>
      <c r="U5" s="2240"/>
      <c r="V5" s="2239">
        <v>5</v>
      </c>
    </row>
    <row customHeight="1" ht="29.25">
      <c r="C6" s="2142"/>
      <c r="D6" s="2863" t="s">
        <v>402</v>
      </c>
      <c r="E6" s="2863"/>
      <c r="F6" s="2863"/>
      <c r="G6" s="2863"/>
      <c r="H6" s="2863"/>
      <c r="I6" s="2863"/>
      <c r="J6" s="1117"/>
      <c r="K6" s="2241"/>
      <c r="V6" s="2233">
        <v>28</v>
      </c>
    </row>
    <row customHeight="1" ht="18">
      <c r="C7" s="2142"/>
      <c r="D7" s="2802" t="str">
        <f>IF(org=0,"Не определено",org)</f>
        <v>АО "ДГК"</v>
      </c>
      <c r="E7" s="2802"/>
      <c r="F7" s="2802"/>
      <c r="G7" s="2802"/>
      <c r="H7" s="2802"/>
      <c r="I7" s="2802"/>
      <c r="J7" s="1117"/>
      <c r="K7" s="2241"/>
      <c r="V7" s="2233">
        <v>17</v>
      </c>
    </row>
    <row s="34555" customFormat="1" customHeight="1" ht="5.25">
      <c r="A8" s="2237"/>
      <c r="C8" s="1112"/>
      <c r="D8" s="1111"/>
      <c r="E8" s="1111"/>
      <c r="F8" s="1111"/>
      <c r="G8" s="1111"/>
      <c r="H8" s="1111"/>
      <c r="I8" s="1111"/>
      <c r="J8" s="1111"/>
      <c r="L8" s="2240"/>
      <c r="M8" s="2240"/>
      <c r="N8" s="2240"/>
      <c r="O8" s="2240"/>
      <c r="P8" s="2240"/>
      <c r="Q8" s="2240"/>
      <c r="R8" s="2240"/>
      <c r="S8" s="2240"/>
      <c r="T8" s="2240"/>
      <c r="U8" s="2240"/>
      <c r="V8" s="2238">
        <v>5</v>
      </c>
    </row>
    <row s="34555" customFormat="1" customHeight="1" ht="5.25">
      <c r="A9" s="2237"/>
      <c r="C9" s="1112"/>
      <c r="D9" s="1111"/>
      <c r="E9" s="1111"/>
      <c r="F9" s="1111"/>
      <c r="G9" s="1111"/>
      <c r="H9" s="1111"/>
      <c r="I9" s="1111"/>
      <c r="J9" s="1111"/>
      <c r="L9" s="2248"/>
      <c r="M9" s="2248"/>
      <c r="N9" s="2248"/>
      <c r="O9" s="2248"/>
      <c r="P9" s="2248"/>
      <c r="Q9" s="2248"/>
      <c r="R9" s="2248"/>
      <c r="S9" s="2248"/>
      <c r="T9" s="2248"/>
      <c r="U9" s="2248"/>
      <c r="V9" s="2238">
        <v>5</v>
      </c>
    </row>
    <row customHeight="1" ht="14.699999999999998">
      <c r="C10" s="2142"/>
      <c r="D10" s="2844" t="s">
        <v>318</v>
      </c>
      <c r="E10" s="2845"/>
      <c r="F10" s="2845"/>
      <c r="G10" s="2845"/>
      <c r="H10" s="2845"/>
      <c r="I10" s="2845"/>
      <c r="J10" s="2849" t="s">
        <v>319</v>
      </c>
      <c r="V10" s="2233">
        <v>14</v>
      </c>
    </row>
    <row customHeight="1" ht="27.299999999999997">
      <c r="C11" s="2142"/>
      <c r="D11" s="2753" t="s">
        <v>88</v>
      </c>
      <c r="E11" s="2849" t="s">
        <v>114</v>
      </c>
      <c r="F11" s="2818" t="s">
        <v>88</v>
      </c>
      <c r="G11" s="2819"/>
      <c r="H11" s="2801" t="s">
        <v>403</v>
      </c>
      <c r="I11" s="2801" t="s">
        <v>404</v>
      </c>
      <c r="J11" s="2849"/>
      <c r="V11" s="2233">
        <v>26</v>
      </c>
    </row>
    <row customHeight="1" ht="14.699999999999998">
      <c r="C12" s="2142"/>
      <c r="D12" s="2753"/>
      <c r="E12" s="2849"/>
      <c r="F12" s="2826"/>
      <c r="G12" s="2827"/>
      <c r="H12" s="2858"/>
      <c r="I12" s="2858"/>
      <c r="J12" s="2849"/>
      <c r="V12" s="2233">
        <v>14</v>
      </c>
    </row>
    <row s="35197" customFormat="1" customHeight="1" ht="11.25" hidden="1">
      <c r="C13" s="1124"/>
      <c r="D13" s="1125" t="s">
        <v>394</v>
      </c>
      <c r="E13" s="1125"/>
      <c r="F13" s="1125"/>
      <c r="G13" s="1125"/>
      <c r="H13" s="1123"/>
      <c r="I13" s="1123"/>
      <c r="J13" s="1061"/>
      <c r="L13" s="2240"/>
      <c r="M13" s="2240"/>
      <c r="N13" s="2240"/>
      <c r="O13" s="2240"/>
      <c r="P13" s="2240"/>
      <c r="Q13" s="2240"/>
      <c r="R13" s="2240"/>
      <c r="S13" s="2240"/>
      <c r="T13" s="2240"/>
      <c r="U13" s="2240"/>
      <c r="V13" s="1122">
        <v>0</v>
      </c>
    </row>
    <row customHeight="1" ht="14.699999999999998">
      <c r="A14" s="2233"/>
      <c r="C14" s="2142"/>
      <c r="D14" s="2859" t="s">
        <v>118</v>
      </c>
      <c r="E14" s="2861"/>
      <c r="F14" s="2243"/>
      <c r="G14" s="2242" t="s">
        <v>118</v>
      </c>
      <c r="H14" s="2249"/>
      <c r="I14" s="2247"/>
      <c r="J14" s="2795" t="s">
        <v>405</v>
      </c>
      <c r="K14" s="2233"/>
      <c r="R14" s="1126" t="s">
        <v>399</v>
      </c>
      <c r="S14" s="1126" t="s">
        <v>399</v>
      </c>
      <c r="V14" s="2233">
        <v>14</v>
      </c>
    </row>
    <row customHeight="1" ht="14.699999999999998">
      <c r="A15" s="2233"/>
      <c r="C15" s="2142"/>
      <c r="D15" s="2860"/>
      <c r="E15" s="2862"/>
      <c r="F15" s="1031"/>
      <c r="G15" s="1495"/>
      <c r="H15" s="1495" t="s">
        <v>401</v>
      </c>
      <c r="I15" s="939"/>
      <c r="J15" s="2796"/>
      <c r="K15" s="2233"/>
      <c r="R15" s="1126"/>
      <c r="S15" s="1126"/>
      <c r="V15" s="2233">
        <v>14</v>
      </c>
    </row>
    <row customHeight="1" ht="14.699999999999998">
      <c r="A16" s="2233"/>
      <c r="C16" s="2142"/>
      <c r="D16" s="1031"/>
      <c r="E16" s="1495" t="s">
        <v>141</v>
      </c>
      <c r="F16" s="939"/>
      <c r="G16" s="939"/>
      <c r="H16" s="1032"/>
      <c r="I16" s="1032"/>
      <c r="J16" s="2797"/>
      <c r="K16" s="2233"/>
      <c r="V16" s="2233">
        <v>14</v>
      </c>
    </row>
    <row customHeight="1" ht="14.699999999999998">
      <c r="K17" s="2233"/>
      <c r="V17" s="2233">
        <v>14</v>
      </c>
    </row>
    <row customHeight="1" ht="22.5" hidden="1">
      <c r="A18" s="2234" t="s">
        <v>82</v>
      </c>
      <c r="B18" s="2233">
        <v>0</v>
      </c>
      <c r="C18" s="1077">
        <v>3</v>
      </c>
      <c r="D18" s="2233">
        <v>5</v>
      </c>
      <c r="E18" s="2233">
        <v>38</v>
      </c>
      <c r="F18" s="2233">
        <v>3</v>
      </c>
      <c r="G18" s="2233">
        <v>3</v>
      </c>
      <c r="H18" s="2233">
        <v>38</v>
      </c>
      <c r="I18" s="2233">
        <v>35</v>
      </c>
      <c r="J18" s="2233">
        <v>103</v>
      </c>
      <c r="K18" s="2235">
        <v>3</v>
      </c>
      <c r="L18" s="2240">
        <v>10</v>
      </c>
      <c r="M18" s="2240">
        <v>10</v>
      </c>
      <c r="N18" s="2240">
        <v>10</v>
      </c>
      <c r="O18" s="2240">
        <v>13</v>
      </c>
      <c r="P18" s="2240">
        <v>15</v>
      </c>
      <c r="Q18" s="2240">
        <v>16</v>
      </c>
      <c r="R18" s="2240">
        <v>10</v>
      </c>
      <c r="S18" s="2240">
        <v>10</v>
      </c>
      <c r="T18" s="2240">
        <v>10</v>
      </c>
      <c r="U18" s="2240">
        <v>10</v>
      </c>
      <c r="V18" s="2233">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