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definedNames>
    <definedName name="_xlnm._FilterDatabase" localSheetId="0" hidden="1">'1'!$B$9:$I$281</definedName>
    <definedName name="Print_Titles" localSheetId="0">'1'!$5:$9</definedName>
    <definedName name="_xlnm._FilterDatabase" localSheetId="0" hidden="1">'1'!$B$9:$I$281</definedName>
  </definedNames>
  <calcPr/>
</workbook>
</file>

<file path=xl/sharedStrings.xml><?xml version="1.0" encoding="utf-8"?>
<sst xmlns="http://schemas.openxmlformats.org/spreadsheetml/2006/main" count="429" uniqueCount="429">
  <si>
    <t xml:space="preserve">Информация об инвестиционных программах производителей электрической энергии за 2025 год</t>
  </si>
  <si>
    <t xml:space="preserve">АО "ДГК" г.Хабаровск, ул.Фрунзе, 49.  ИНН 1434031363. Адрес электронной почты: dgk@dgk.ru</t>
  </si>
  <si>
    <t xml:space="preserve">Наименование инвестиционной программы, сроки начала и окончания реализации инвестиционной программы</t>
  </si>
  <si>
    <t xml:space="preserve">Дата утверждения инвестиционной программы</t>
  </si>
  <si>
    <t xml:space="preserve">Цели инвестиционной программы</t>
  </si>
  <si>
    <t xml:space="preserve">Наименование органа исполнительной власти, утвердившего инвестиционную программу</t>
  </si>
  <si>
    <t xml:space="preserve">Информация об использовании инвестиционных средств за 2025 год</t>
  </si>
  <si>
    <t xml:space="preserve">Наименование мероприятия</t>
  </si>
  <si>
    <t xml:space="preserve">Сведения об использовании инвестиционных средств за отчетный 2025 год (тыс.руб.) в части производства электрической энергии из комбинир выработка (финансирование без НДС).</t>
  </si>
  <si>
    <t xml:space="preserve">Источник финансирования инвестиционной программы</t>
  </si>
  <si>
    <t xml:space="preserve">Всего по АО "ДГК"</t>
  </si>
  <si>
    <t xml:space="preserve">собственные и заемные средства</t>
  </si>
  <si>
    <t xml:space="preserve">Хабаровский край</t>
  </si>
  <si>
    <t xml:space="preserve">Об утверждении инвестиционной программы акционерного общества "Дальневосточная генерирующая компания" на 2025-2030 годы, утвержденная Распоряжением Правительства Хабаровского края от 02.10.2025 №638-рп</t>
  </si>
  <si>
    <t>02.10.2025</t>
  </si>
  <si>
    <t xml:space="preserve">1.Повышение надёжного и экономичного энергоснабжения потребителей тепловой и электрической энергией. Повышение энергетической эффективности и энергосбережения.                                                                                                                     2. Выполнение требований законодательства Российской Федерации                                                                                                                          3. Разработка и внедрение научно-исследовательских и опытно-конструкторских разработок.</t>
  </si>
  <si>
    <t xml:space="preserve">Правительство Хабаровского края</t>
  </si>
  <si>
    <t xml:space="preserve">ХТЭЦ-1, в т.ч.:</t>
  </si>
  <si>
    <t xml:space="preserve">Наращивание дамб буферного золоотвала и дополнительной секции. Хабаровский район с. Ильинка Хабаровская ТЭЦ-1  (от отм. 104 до отм. 109)</t>
  </si>
  <si>
    <t>F_505-ХГ-1-1</t>
  </si>
  <si>
    <t>Амортизация</t>
  </si>
  <si>
    <t xml:space="preserve">Реконструкция нефтеловушки для обеспечения очистки сточных вод СП "Хабаровская ТЭЦ-1"</t>
  </si>
  <si>
    <t>N_505-ХТЭЦ-1-3</t>
  </si>
  <si>
    <t xml:space="preserve">Возвратный НДС</t>
  </si>
  <si>
    <t xml:space="preserve">Установка блочной электролизной установки Хабаровской ТЭЦ-1 производительностью 0,5/4 Нкуб/ч (1 шт.)</t>
  </si>
  <si>
    <t>O_505-ХТЭЦ-1-7</t>
  </si>
  <si>
    <t xml:space="preserve">Займ РусГидро</t>
  </si>
  <si>
    <t xml:space="preserve">Реконструкция Автоматической установки водяного пожаротушения галереи топливоподачи Хабаровской ТЭЦ-1 протяженностью 1100 м.</t>
  </si>
  <si>
    <t>O_505-ХТЭЦ-1-9</t>
  </si>
  <si>
    <t xml:space="preserve">Модернизация водовода подпитки Хабаровской ТЭЦ-1 (от ул. Юности до пер. Трамвайного), на протяженности 3000м - Ø 600 мм, с применением ОДК и технологии ППУИ </t>
  </si>
  <si>
    <t>F_505-ХГ-2</t>
  </si>
  <si>
    <t xml:space="preserve">Техперевооружение комплекса инженерно-технических средств физической защиты СП "Хабаровской ТЭЦ-1"</t>
  </si>
  <si>
    <t>H_505-ХГ-80</t>
  </si>
  <si>
    <t xml:space="preserve">Модернизация системы автоматической установки пожарной сигнализации и системы пожаротушения в кабельном полуэтаже здания ГЩУ Хабаровской ТЭЦ-1 протяженностью 72,1 м.</t>
  </si>
  <si>
    <t>P_505-ХТЭЦ-1-15</t>
  </si>
  <si>
    <t xml:space="preserve">Модернизация рекуперативных воздухоподогревателей котлоагрегатов № 7, 8, 11, 12, 13, 14, 15, 16 (замена кубов ВЗП) Хабаровской ТЭЦ-1</t>
  </si>
  <si>
    <t>P_505-ХТЭЦ-1-11</t>
  </si>
  <si>
    <t xml:space="preserve">Реконструкция ЗРУ-35кВ и ЗРУ-110кВ, СП Хабаровская ТЭЦ-1</t>
  </si>
  <si>
    <t>P_505-ХТЭЦ-1-18</t>
  </si>
  <si>
    <t xml:space="preserve">Разработка ПИР для проекта Установка локальной системы оповещения на гидротехнических сооружениях, СП Хабаровская ТЭЦ-1</t>
  </si>
  <si>
    <t>P_505-ХТЭЦ-1-19</t>
  </si>
  <si>
    <t xml:space="preserve">Строительство очистных сооружений нефтесодержащих и дождевых сточных вод, производительностью 600 м3/час на Хабаровской ТЭЦ-1</t>
  </si>
  <si>
    <t>F_505-ХГ-35</t>
  </si>
  <si>
    <t xml:space="preserve">Обратный инжиниринг запасных частей к насосам импортного производства с разработкой рабочей конструкторской документации и изготовлением опытных образцов,СП Хабаровская ТЭЦ-1</t>
  </si>
  <si>
    <t>P_505-ХТЭЦ-1-12на</t>
  </si>
  <si>
    <t xml:space="preserve">Покупка оборудования не входящего в сметы СП ХТЭЦ-1</t>
  </si>
  <si>
    <t xml:space="preserve">Приобретение объектов нематериальных активов СП ХТЭЦ-1</t>
  </si>
  <si>
    <t xml:space="preserve">Выручка по себестоимости</t>
  </si>
  <si>
    <t xml:space="preserve">ХТЭЦ-3, в т.ч.:</t>
  </si>
  <si>
    <t xml:space="preserve">Замена теристорного возбуждения на энергоблоках ст. № 1, 2, 3 Хабаровской ТЭЦ-3</t>
  </si>
  <si>
    <t>H_505-ХГ-114</t>
  </si>
  <si>
    <t xml:space="preserve">Техперевооружение Хабаровской ТЭЦ-3 с переводом на сжигание природного газа пиковой котельной (ПВК), 3 шт.</t>
  </si>
  <si>
    <t>F_505-ХГ-38</t>
  </si>
  <si>
    <t xml:space="preserve">Техперевооружение комплекса инженерно-технических средств физической защиты СП "Хабаровской ТЭЦ-3" </t>
  </si>
  <si>
    <t>H_505-ХГ-81</t>
  </si>
  <si>
    <t xml:space="preserve">Техперевооружение топливоподачи с установкой автоматизированной системы отбора и экспресс анализа твердого топлива на СП «Хабаровская ТЭЦ-3»</t>
  </si>
  <si>
    <t>P_505-ХТЭЦ-3-59</t>
  </si>
  <si>
    <t xml:space="preserve">Доход от претензионно-исковой работы</t>
  </si>
  <si>
    <t xml:space="preserve">Экономия от закупок по статье Топливо</t>
  </si>
  <si>
    <t xml:space="preserve">Установка комплекса автоматизированного дистанционного контроля за перемещением грузов, транспорта персонала заказчика и подрядных организаций в границах и территориях Хабаровской ТЭЦ-3.</t>
  </si>
  <si>
    <t>P_505-ХТЭЦ-3-56</t>
  </si>
  <si>
    <t xml:space="preserve">Замена циркуляционного насоса 96 ДПВ-4,5/23 (ЦН-1, ЦН-2, ЦН-3) с вращающейся сеткой для СП «Хабаровская ТЭЦ-3</t>
  </si>
  <si>
    <t>N_505-ХТЭЦ-3-24</t>
  </si>
  <si>
    <t xml:space="preserve">Техперевооружение Хабаровской ТЭЦ-3 для обеспечения выдачи тепловой энергии в тепломагистраль ТМ-35</t>
  </si>
  <si>
    <t>N_505-ХТЭЦ-3-22тп</t>
  </si>
  <si>
    <t xml:space="preserve">Техническое перевооружение насосного оборудования СП "Хабаровская ТЭЦ-3"</t>
  </si>
  <si>
    <t>N_505-ХТЭЦ-3-27</t>
  </si>
  <si>
    <t xml:space="preserve">Модернизация системы частотного регулирования питателей сырого угля (1 система) Котла ТПЕ-215 ст. № 1, СП "Хабаровская ТЭЦ-3"</t>
  </si>
  <si>
    <t>N_505-ХТЭЦ-3-31</t>
  </si>
  <si>
    <t xml:space="preserve">Модернизация системы автоматического регулирования Турбины Т-180/210-130 ст. № 1,2,3 с заменой гидромеханической системы на электромеханическую с заменой регулирующих клапанов и сервомоторов, СП "Хабаровская ТЭЦ-3"</t>
  </si>
  <si>
    <t>N_505-ХТЭЦ-3-28</t>
  </si>
  <si>
    <t xml:space="preserve">Модернизация ОРУ-110 кВ БНС с заменой выработавших свой ресурс масляных выключателей 110 кВ на элегазовые (2 шт.) СП Хабаровская ТЭЦ-3</t>
  </si>
  <si>
    <t>N_505-ХТЭЦ-3-29</t>
  </si>
  <si>
    <t xml:space="preserve">Техническое перевооружение пожарного трубопровода с заменой подземного участка Ø159 (1101 п.м.) на полиэтиленовую трубу, СП ХТЭЦ-3</t>
  </si>
  <si>
    <t>N_505-ХТЭЦ-3-42</t>
  </si>
  <si>
    <t xml:space="preserve">Техническое перевооружение Хабаровской ТЭЦ-3 с переводом на сжигание природного газа энергоблоков ст. № 2, СП Хабаровская ТЭЦ-3</t>
  </si>
  <si>
    <t>N_505-ХТЭЦ-3-45</t>
  </si>
  <si>
    <t xml:space="preserve">Модернизация основного и вспомогательного оборудования энергоблока ст.№2 Хабаровской ТЭЦ-3</t>
  </si>
  <si>
    <t>O_505-ХТЭЦ-3-52</t>
  </si>
  <si>
    <t>Дивиденды</t>
  </si>
  <si>
    <t xml:space="preserve">Реконструкция золоотвала №2 (2 пусковой комплекс) Хабаровской ТЭЦ-3 (ёмкость - 2250 тыс. м3)</t>
  </si>
  <si>
    <t>F_505-ХГ-41</t>
  </si>
  <si>
    <t xml:space="preserve">Строительство градирни ст.№4 с циркуляционной насосной станцией для Хабаровской ТЭЦ-3</t>
  </si>
  <si>
    <t>N_505-ХТЭЦ-3-48</t>
  </si>
  <si>
    <t xml:space="preserve">Строительство береговой насосной Хабаровской ТЭЦ-3 с внедрением инновационных конструкций водозаборных оголовков, 0,5 км.</t>
  </si>
  <si>
    <t>F_505-ХГ-43</t>
  </si>
  <si>
    <t xml:space="preserve">Реконструкция электрооборудования главной схемы Хабаровской ТЭЦ-3 с заменой устройств релейной защиты и автоматики</t>
  </si>
  <si>
    <t>N_505-ХТЭЦ-3-20</t>
  </si>
  <si>
    <t xml:space="preserve">Разработка ПИР для реализации проекта "Модернизация системы золоудаления Хабаровской ТЭЦ-3)</t>
  </si>
  <si>
    <t>O_505-ХТЭЦ-3-55</t>
  </si>
  <si>
    <t xml:space="preserve">Разработка и внедрение опытно-промышленного образца системы получения водорода для системы охлаждения генераторов СП "Хабаровская ТЭЦ-3" (ТГВ-200х4)</t>
  </si>
  <si>
    <t>N_505-ХГ-182на</t>
  </si>
  <si>
    <t xml:space="preserve">Покупка оборудования не входящего в сметы СП ХТЭЦ-3</t>
  </si>
  <si>
    <t xml:space="preserve">Средства от реализации активов</t>
  </si>
  <si>
    <t xml:space="preserve">Приобретение объектов нематериальных активов СП ХТЭЦ-3</t>
  </si>
  <si>
    <t xml:space="preserve">КТЭЦ-2, в т.ч.:</t>
  </si>
  <si>
    <t xml:space="preserve">Модернизация системы СОТИАССО (система обмена технологической информацией с автоматизированной системой системного оператора) Комсомольской ТЭЦ-2</t>
  </si>
  <si>
    <t>H_505-ХГ-108-2</t>
  </si>
  <si>
    <t xml:space="preserve">Техперевооружение комплекса инженерно-технических средств физической защиты СП "Комсомольская ТЭЦ-2"</t>
  </si>
  <si>
    <t>F_505-ХГ-26</t>
  </si>
  <si>
    <t xml:space="preserve">Техперевооружение комплекса инженерно-технических средств физической защиты СП "Комсомольская ТЭЦ-1"</t>
  </si>
  <si>
    <t>F_505-ХГ-27</t>
  </si>
  <si>
    <t xml:space="preserve">Техперевооружение установки постоянного тока на Комсомольской ТЭЦ-1</t>
  </si>
  <si>
    <t>N_505-ХГ-162</t>
  </si>
  <si>
    <t xml:space="preserve">Установка телескопических загрузчиков на комплексе вагоноопрокидывателя Комсомольской ТЭЦ-2</t>
  </si>
  <si>
    <t>N_505-ХГ-163</t>
  </si>
  <si>
    <t xml:space="preserve">Модернизация системы оперативного постоянного тока с установкой устройств контроля аккумуляторных батарей  на Комсомольской ТЭЦ-1</t>
  </si>
  <si>
    <t>P_505-КТЭЦ2-21</t>
  </si>
  <si>
    <t xml:space="preserve">Модернизация системы управления ПСУ котлоагрегата  БКЗ-210-140 ст.№7,8,10 Комсомольской ТЭЦ-2. Комсомольская ТЭЦ-2 </t>
  </si>
  <si>
    <t>O_505-КТЭЦ2-5</t>
  </si>
  <si>
    <t xml:space="preserve">Замена пассажирского лифта Комсомольской ТЭЦ-2</t>
  </si>
  <si>
    <t>O_505-КТЭЦ2-16</t>
  </si>
  <si>
    <t xml:space="preserve">Модернизация склада ГСМ КТЭЦ-2</t>
  </si>
  <si>
    <t>N_505-КТЭЦ2-2</t>
  </si>
  <si>
    <t xml:space="preserve">Модернизация вагонных весов, для СП "Комсомольская ТЭЦ-2", 1 шт</t>
  </si>
  <si>
    <t>N_505-ХГ-190</t>
  </si>
  <si>
    <t xml:space="preserve">Техперевооружение золошлакопроводов.СП "Комсомольская ТЭЦ-2", 1 шт</t>
  </si>
  <si>
    <t>N_505-ХГ-200</t>
  </si>
  <si>
    <t xml:space="preserve">«Модернизация системы узлов учёта сброса сточных вод СП «Комсомольская ТЭЦ-2</t>
  </si>
  <si>
    <t>N_505-ХГ-201</t>
  </si>
  <si>
    <t xml:space="preserve">Разработка ПИР для проекта "Реконструкция защитного сооружения гражданской обороны в здании служебно-бытового корпуса Комсомольской ТЭЦ-2"</t>
  </si>
  <si>
    <t>O_505-КТЭЦ2-18</t>
  </si>
  <si>
    <t xml:space="preserve">Покупка оборудования не входящего в сметы СП КТЭЦ-2</t>
  </si>
  <si>
    <t xml:space="preserve">Приобретение объектов нематериальных активов СП КТЭЦ-2</t>
  </si>
  <si>
    <t xml:space="preserve">КТЭЦ-3, в т.ч.:</t>
  </si>
  <si>
    <t xml:space="preserve">Реконструкция кровли Главного корпуса, кровли турбинного отделения (6220 м2), котельного отделения (5040 м2), дымососного отделения (1984 м2), СП "Комсомольская ТЭЦ-3"</t>
  </si>
  <si>
    <t>N_505-КТЭЦ3-10</t>
  </si>
  <si>
    <t xml:space="preserve">Реконструкция Градирни БГ - 2600 №2 -  СП "Комсомольская ТЭЦ-3"</t>
  </si>
  <si>
    <t>N_505-КТЭЦ3-9</t>
  </si>
  <si>
    <t xml:space="preserve">Модернизация системы СОТИАССО (система обмена технологической информацией с автоматизированной системой системного оператора) Комсомольской ТЭЦ-3</t>
  </si>
  <si>
    <t>H_505-ХГ-108-1</t>
  </si>
  <si>
    <t xml:space="preserve">Техническое перевооружение узла приемки ввозимого груза автотранспортом с установкой автомобильных весов max. нагрузкой 60тн, длиной платформы-12м, цена деления-20кг - 1шт для Комсомольской ТЭЦ-3</t>
  </si>
  <si>
    <t>O_505-КТЭЦ3-11</t>
  </si>
  <si>
    <t xml:space="preserve">Установка железнодорожных весов весов max. нагрузкой 150тн, длиной платформы-15м, цена деления-50кг - 1шт для Комсомольской ТЭЦ-3</t>
  </si>
  <si>
    <t>O_505-КТЭЦ3-12</t>
  </si>
  <si>
    <t xml:space="preserve">Техперевооружение системы управления информационной безопасности, СП Комсомольская ТЭЦ-3</t>
  </si>
  <si>
    <t>K_505-ХГ-158</t>
  </si>
  <si>
    <t xml:space="preserve">Техническое перевооружение электротехнического оборудования с заменой масленных выключателей - 10шт, для СП "Комсомольская ТЭЦ-3"</t>
  </si>
  <si>
    <t>N_505-КТЭЦ3-1</t>
  </si>
  <si>
    <t xml:space="preserve">Техническое перевооружение устройств релейной защиты и автоматики высоковольтных линий 110 кВ С115, С116, С117, С118  - 4шт, СП "Комсомольская ТЭЦ-3"</t>
  </si>
  <si>
    <t>N_505-КТЭЦ3-2</t>
  </si>
  <si>
    <t xml:space="preserve">Техническое перевооружение системы возбуждения турбогенераторов ТГ-1, ТГ-2  - 2шт, СП "Комсомольская ТЭЦ-3"</t>
  </si>
  <si>
    <t>N_505-КТЭЦ3-3</t>
  </si>
  <si>
    <t xml:space="preserve">Модернизация электрических кабелей оборудования масло-мазутного хозяйства  - 9км, СП Комсомольская ТЭЦ-3 </t>
  </si>
  <si>
    <t>N_505-КТЭЦ3-5</t>
  </si>
  <si>
    <t xml:space="preserve">Технологическое перевооружение автоматических систем пожарной сигнализации зданий - 13шт. Для СП "Комсомольская ТЭЦ-3"</t>
  </si>
  <si>
    <t>N_505-КТЭЦ3-6</t>
  </si>
  <si>
    <t xml:space="preserve">Техперевооружение комплекса инженерно-технических средств физической защиты СП "Комсомольская ТЭЦ-3", водогрейная котельная "Дземги"</t>
  </si>
  <si>
    <t>F_505-ХГ-25</t>
  </si>
  <si>
    <t xml:space="preserve">Строительство быстровозводимого здания защитного сооружения на 300 мест на территории СП Комсомольской ТЭЦ-3</t>
  </si>
  <si>
    <t>O_505-КТЭЦ3-13</t>
  </si>
  <si>
    <t xml:space="preserve">Строительство площадки для хранения металлолома - 1 шт. для СП "Комсомольская ТЭЦ-3"</t>
  </si>
  <si>
    <t>P_505-КТЭЦ3-20</t>
  </si>
  <si>
    <t xml:space="preserve">Покупка оборудования не входящего в сметы СП КТЭЦ-3</t>
  </si>
  <si>
    <t xml:space="preserve">Приобретение объектов нематериальных активов СП КТЭЦ-3</t>
  </si>
  <si>
    <t xml:space="preserve">АТЭЦ, в т.ч.:</t>
  </si>
  <si>
    <t xml:space="preserve">Реконструкция градирни Амурской ТЭЦ-1</t>
  </si>
  <si>
    <t>H_505-ХГ-103</t>
  </si>
  <si>
    <t xml:space="preserve">Установка на Амурской ТЭЦ-1 третьего трансформатора связи 110/6 кВ мощностью 63 МВА, СП Амурская ТЭЦ</t>
  </si>
  <si>
    <t>L_505-ХГ-178</t>
  </si>
  <si>
    <t xml:space="preserve">Модернизация системы СОТИАССО (система обмена технологической информацией с автоматизированной системой системного оператора) Амурской ТЭЦ</t>
  </si>
  <si>
    <t>H_505-ХГ-108-3</t>
  </si>
  <si>
    <t xml:space="preserve">Модернизация АСУ ТП к/а №2 , СП Амурская ТЭЦ-1</t>
  </si>
  <si>
    <t>N_505-ХГ-194</t>
  </si>
  <si>
    <t xml:space="preserve">Модернизация генератора турбины ПТ-60-90/13/12 с заменой газоанализатора частоты водорода Амурской ТЭЦ-1 в количестве 1 шт</t>
  </si>
  <si>
    <t>O_505-АмТЭЦ-1-13</t>
  </si>
  <si>
    <t xml:space="preserve">Техперевооружение техводоснабжения  с заменой задвижки ду 1600 и затвора ду1200 Амурской  ТЭЦ-1 в количестве 1 система</t>
  </si>
  <si>
    <t>O_505-АмТЭЦ-1-14</t>
  </si>
  <si>
    <t xml:space="preserve">Модернизация насосного парка ММХ с заменой центробежно-горизонтальных насосов на двухвинтовые насосы
АмурскойТЭЦ-1  в количестве 3 шт</t>
  </si>
  <si>
    <t>O_505-АмТЭЦ-1-15</t>
  </si>
  <si>
    <t xml:space="preserve">Модернизация  багерной с заменой  багерного насоса ГРТ1250/71 с электродвигателем Амурской ТЭЦ-1в количестве 1 шт</t>
  </si>
  <si>
    <t>O_505-АмТЭЦ-1-16</t>
  </si>
  <si>
    <t xml:space="preserve">Реконструкция устройств РЗА элементов ОМВ-110 (монтаж защит на микропроцессорной основе), СП "Амурская ТЭЦ-1"</t>
  </si>
  <si>
    <t>O_505-АмТЭЦ-1-17</t>
  </si>
  <si>
    <t xml:space="preserve">Техническое перевооружение турбины ПТ-60-90/13 ст.№ 3 с установкой автоматизированной системы контроля вибраций и диагностики (АСКВД) (1 система), СП "Амурская ТЭЦ-1"</t>
  </si>
  <si>
    <t>P_505-АмТЭЦ-1-23</t>
  </si>
  <si>
    <t xml:space="preserve">Техперевооружение Амурской ТЭЦ-1 с переводом на сжигание природного газа к/а ст №9,10 на газовое топливо,2шт, СП "Амурская ТЭЦ-1"</t>
  </si>
  <si>
    <t>O_505-АмТЭЦ-1-11</t>
  </si>
  <si>
    <t xml:space="preserve">Модернизация устройства резистивного заземления нейтрали в сети СН 6 кВ блока №4, СП "Амурская ТЭЦ-1"</t>
  </si>
  <si>
    <t>N_505-АмТЭЦ-1-8</t>
  </si>
  <si>
    <t xml:space="preserve">Техническое перевооружение теплофикационной системы с заменой подогревателя сетевой воды ПСВ 200-7-15 ст.№ ПП-3 (1 шт.), СП "Амурская ТЭЦ-1"</t>
  </si>
  <si>
    <t>N_505-АмТЭЦ-1-9</t>
  </si>
  <si>
    <t xml:space="preserve">Техническое перевооружение вагоноопрокидывателя ВРС-125 с заменой ротора (1 шт), СП "Амурская ТЭЦ-1"</t>
  </si>
  <si>
    <t>N_505-АмТЭЦ-1-10</t>
  </si>
  <si>
    <t xml:space="preserve">Разработка ПИР для проекта Строительство Градирни № 2 Амурской ТЭЦ-1</t>
  </si>
  <si>
    <t>P_505-АмТЭЦ-1-24</t>
  </si>
  <si>
    <t xml:space="preserve">Строительство золоотвала Амурской ТЭЦ (ёмкость 3189 тыс. м3, производительность 1200 т/час)</t>
  </si>
  <si>
    <t>F_505-ХГ-42</t>
  </si>
  <si>
    <t xml:space="preserve">Разработка и внедрение технологических решений по обеспечению эффективной работы системы ХВО СП "Амурская ТЭЦ-1" при низких электрических и тепловых нагрузках</t>
  </si>
  <si>
    <t>N_505-ХГ-186на</t>
  </si>
  <si>
    <t xml:space="preserve">Покупка оборудования не входящего в сметы СП АТЭЦ</t>
  </si>
  <si>
    <t xml:space="preserve">Приобретение объектов нематериальных активов СП АТЭЦ</t>
  </si>
  <si>
    <t xml:space="preserve">НТЭЦ, в т.ч.:</t>
  </si>
  <si>
    <t xml:space="preserve">Техперевооружение Николаевской ТЭЦ с переводом котлоагрегата ст. № 1, ст. № 4  на сжигание природного газа </t>
  </si>
  <si>
    <t>J_505-ХГ-143</t>
  </si>
  <si>
    <t xml:space="preserve">Строительство очистных сооружений для хозяйственно-бытовых сточных вод Николаевской ТЭЦ небольшой производительностью- 70 м3/сут. </t>
  </si>
  <si>
    <t>H_505-ХГ-118</t>
  </si>
  <si>
    <t xml:space="preserve">Инвестиционная составляющая</t>
  </si>
  <si>
    <t xml:space="preserve">Строительство раскачивающей  насосной станции на территории ТЭЦ с модернизацией причальной стенки СП Николаевская ТЭЦ</t>
  </si>
  <si>
    <t>N_505-НТЭЦ-4</t>
  </si>
  <si>
    <t xml:space="preserve">Техперевооружение комплекса инженерно-технических средств физической защиты СП  Николаевской ТЭЦ, газораспределительной станции (ГРС) Николаевской ТЭЦ</t>
  </si>
  <si>
    <t>F_505-ХГ-30</t>
  </si>
  <si>
    <t xml:space="preserve">Техперевооружение резервуаров вертикальных стальных РВС 5000 ст.№1,2 (Расходный склад мазута) СП Николаевская ТЭЦ.
</t>
  </si>
  <si>
    <t>L_505-ХГ-177</t>
  </si>
  <si>
    <t xml:space="preserve">Модернизация вакуумных деаэраторов СП Николаевская ТЭЦ, в количестве 2 шт.</t>
  </si>
  <si>
    <t>N_505-НТЭЦ-1</t>
  </si>
  <si>
    <t xml:space="preserve">Модернизация деаэраторов атмосферных ДА 200/75 подпитки котла  СП Николаевская ТЭЦ, в количестве 2 шт.</t>
  </si>
  <si>
    <t>N_505-НТЭЦ-2</t>
  </si>
  <si>
    <t xml:space="preserve">Модернизация теплового контура главного корпуса СП Николаевская ТЭЦ</t>
  </si>
  <si>
    <t>N_505-НТЭЦ-3</t>
  </si>
  <si>
    <t xml:space="preserve">Реконструкция панелей защит ВЛ-110 кВ СП Николаевская ТЭЦ, 2 шт.</t>
  </si>
  <si>
    <t>O_505-НТЭЦ-8</t>
  </si>
  <si>
    <t xml:space="preserve">Модернизация системы энергоснабжения МГ с заменой двигателя Capstone C30 СП Николаевская ТЭЦ, 9 шт.</t>
  </si>
  <si>
    <t>O_505-НТЭЦ-9</t>
  </si>
  <si>
    <t xml:space="preserve">Установка локальной системы оповещения на территории Николаевской ТЭЦ, включая объекты БСМ  и АГРС, 1 шт.</t>
  </si>
  <si>
    <t>O_505-НТЭЦ-13</t>
  </si>
  <si>
    <t xml:space="preserve">Покупка оборудования не входящего в сметы СП НТЭЦ</t>
  </si>
  <si>
    <t xml:space="preserve">Приобретение объектов нематериальных активов СП НТЭЦ</t>
  </si>
  <si>
    <t xml:space="preserve">СГТЭЦ, в т.ч.:</t>
  </si>
  <si>
    <t xml:space="preserve">Модернизация системы золоудаления котлотурбинного цеха с установкой компрессоров 2 шт и воздуходувок 3 шт, СП ТЭЦ в г.Советская Гавань</t>
  </si>
  <si>
    <t>P_505-ТЭЦСов.Гавань-27</t>
  </si>
  <si>
    <t xml:space="preserve">Замена вентиляторов горячего дутья ВГД-10/3000, 12 шт. СП ТЭЦ  Советская Гавань</t>
  </si>
  <si>
    <t>N_505-ТЭЦСов.Гавань-2</t>
  </si>
  <si>
    <t xml:space="preserve">Разработка проектно-изыскательских работ для модернизации системы обеспечения перепада давления уплотняющего воздуха котельного оборудования, ТЭЦ в г. Советская Гавань</t>
  </si>
  <si>
    <t>O_505-ТЭЦСов.Гавань-20</t>
  </si>
  <si>
    <t xml:space="preserve">Разработка ПИР для проекта "Модернизация системы пневмозолоудаления котлов ТПЕ131 ст.№№1,2,3, ТЭЦ в г. Советская Гавань"</t>
  </si>
  <si>
    <t>O_505-ТЭЦСов.Гавань-23</t>
  </si>
  <si>
    <t xml:space="preserve">Разработка и внедрение инновационного отечественного маятникового клапана системы золоудаления котлоагрегатов ст. №№ 1, 2, 3, СП "ТЭЦ в г. Советская Гавань</t>
  </si>
  <si>
    <t>O_505-ТЭЦСов.Гавань-12на</t>
  </si>
  <si>
    <t xml:space="preserve">Разработка и внедрение технологии преобразования открытого склада твёрдого топлива в закрытый, с использованием пленочного мембранного материала на СП "ТЭЦ в г. Советская Гавань"</t>
  </si>
  <si>
    <t>P_505-ТЭЦСов.Гавань-14на</t>
  </si>
  <si>
    <t xml:space="preserve">Техперевооружение системы управления информационной безопасности, СП ТЭЦ Советская Гавань</t>
  </si>
  <si>
    <t>N_505-ТЭЦСов.Гавань-9</t>
  </si>
  <si>
    <t xml:space="preserve">Покупка оборудования не входящего в сметы СП СГТЭЦ</t>
  </si>
  <si>
    <t xml:space="preserve">Приобретение объектов нематериальных активов СП СГТЭЦ</t>
  </si>
  <si>
    <t xml:space="preserve">Выкуп имущества, входящего в состав "Комплекса имущества ж/д пути необщего пользования к ТЭЦ в г.Советская Гавань"</t>
  </si>
  <si>
    <t>N_505-ТЭЦСов.Гавань-5</t>
  </si>
  <si>
    <t xml:space="preserve">Амурская область</t>
  </si>
  <si>
    <t xml:space="preserve">Инвестиционная программа № 39@ от 23.12.2024 ФИЛИАЛ АО "ДГК" в сфере теплоснабжения по строительству, реконструкции, модернизации и развитию тепловых сетей и системы централизованного теплоснабжения на 2024-2029 годы</t>
  </si>
  <si>
    <t>23.12.2024</t>
  </si>
  <si>
    <t xml:space="preserve">1.Повышение надёжного и экономичного энергоснабжения потребителей тепловой и электрической энергией. Повышение энергетической эффективности и энергосбережения.                                                                                                                                                                                         2. Выполнение требований законодательства Российской Федерации                                                                                                                                </t>
  </si>
  <si>
    <t xml:space="preserve">Министерство энергетики Российской Федерации</t>
  </si>
  <si>
    <t xml:space="preserve">БТЭЦ, в т.ч.:</t>
  </si>
  <si>
    <t xml:space="preserve">Реконструкция выхлопного трубопровода  расширителя периодической продувки ст. №2 Благовещенская ТЭЦ (2-ая оч.)</t>
  </si>
  <si>
    <t>N_505-БлТЭЦ2-3</t>
  </si>
  <si>
    <t xml:space="preserve">Реконструкция РУСН 6 кВ, замена сухих трансформаторов СП БТЭЦ</t>
  </si>
  <si>
    <t>H_505-АГ-36</t>
  </si>
  <si>
    <t xml:space="preserve">Реконструкция оборудования ОРУ-110 кВ с заменой МВ на элегазовые СП БТЭЦ</t>
  </si>
  <si>
    <t>I_505-АГ-53</t>
  </si>
  <si>
    <t xml:space="preserve">Реконструкция электродвигателей 6 кВ   собственных нужд станции  СП БТЭЦ</t>
  </si>
  <si>
    <t>I_505-АГ-57</t>
  </si>
  <si>
    <t xml:space="preserve">Техническое перевооружение компрессорной станции, СП БТЭЦ</t>
  </si>
  <si>
    <t>N_505-АГ-84</t>
  </si>
  <si>
    <t xml:space="preserve">Установка и внедрение тренажеров оперативного персонала  на базе АСУТП оборудования2-й очереди, СП Благовещенская ТЭЦ (2-оч.)</t>
  </si>
  <si>
    <t>N_505-БлТЭЦ2-11</t>
  </si>
  <si>
    <t xml:space="preserve">Установка токарно-винторезных станков (2 шт.) для проведения ремонта оборудования 2 очереди Благовещенской ТЭЦ</t>
  </si>
  <si>
    <t>N_505-БлТЭЦ2-13</t>
  </si>
  <si>
    <t xml:space="preserve">Установка автоматизированной системы отбора и экспресс анализа твердого топлива на СП Благовещенская ТЭЦ"</t>
  </si>
  <si>
    <t>P_505-БлТЭЦ1-53</t>
  </si>
  <si>
    <t xml:space="preserve">Реконструкция системы громко-говорящей связи, СП Благовещенская ТЭЦ</t>
  </si>
  <si>
    <t>O_505-БлТЭЦ1-24</t>
  </si>
  <si>
    <t xml:space="preserve">Модернизация локальной системы оповещения гидротехнических сооружений 2 класса, СП Благовещенская ТЭЦ</t>
  </si>
  <si>
    <t>O_505-БлТЭЦ1-28</t>
  </si>
  <si>
    <t xml:space="preserve">Разработки ПИР для проекта "Реконструкция паропровода поперечной  связи к-а № 1-5, СП Благовещенская ТЭЦ"  </t>
  </si>
  <si>
    <t>P_505-БлТЭЦ1-55</t>
  </si>
  <si>
    <t xml:space="preserve">Установка обдувочных апаратов на котлоагрегаты ст №1- 3, СП БТЭЦ</t>
  </si>
  <si>
    <t>K_505-АГ-87</t>
  </si>
  <si>
    <t xml:space="preserve">Внедрение автоматического пожаротушения силовых трансформаторов пристанционного узла Т1,2,3,4, РТСН 2ВТ,3ВТ,4ВТ, СП БТЭЦ</t>
  </si>
  <si>
    <t>K_505-АГ-90</t>
  </si>
  <si>
    <t xml:space="preserve">Техническое перевооружение железнодорожных путей, СП БТЭЦ </t>
  </si>
  <si>
    <t>K_505-АГ-93</t>
  </si>
  <si>
    <t xml:space="preserve">Разработка ПИР для проекта "Строительство газопровода от точки технологического подключения до Главного корпуса Благовещенской ТЭЦ"</t>
  </si>
  <si>
    <t>Q_505-БлТЭЦ2-60</t>
  </si>
  <si>
    <t xml:space="preserve">Техперевооружение комплекса инженерно-технических средств  физической защиты объектов БТЭЦ</t>
  </si>
  <si>
    <t>H_505-АГ-48</t>
  </si>
  <si>
    <t xml:space="preserve">Строительство Новый золоотвал БТЭЦ, емкость - 7,5 млн. м3 (аренда земли)</t>
  </si>
  <si>
    <t>F_505-АГ-26</t>
  </si>
  <si>
    <t xml:space="preserve">Разработка ПИР по проекту "Техническое перевооружение котлоагрегатов ст. №1,2 СП Благовещенской ТЭЦ с переводом на сжигание природного газа"</t>
  </si>
  <si>
    <t>N_505-БлТЭЦ2-21</t>
  </si>
  <si>
    <t xml:space="preserve">Разработка методики по оценке технического состояния насосного оборудования СП "Благовещенская ТЭЦ"</t>
  </si>
  <si>
    <t>P_505-БлТЭЦ-2на</t>
  </si>
  <si>
    <t xml:space="preserve">Разработка технологии повышения экологичности работы к/а ст. №№ 1-5 Благовещенской ТЭЦ</t>
  </si>
  <si>
    <t>P_505-БлТЭЦ-1на</t>
  </si>
  <si>
    <t xml:space="preserve">Покупка оборудования не входящего в сметы СП БТЭЦ</t>
  </si>
  <si>
    <t xml:space="preserve">Приобретение объектов нематериальных активов СП БТЭЦ</t>
  </si>
  <si>
    <t xml:space="preserve">РГРЭС, в т.ч.:</t>
  </si>
  <si>
    <t xml:space="preserve">Реконструкция приемно-сливного устройства ММХ СП РГРЭС</t>
  </si>
  <si>
    <t>J_505-АГ-80</t>
  </si>
  <si>
    <t xml:space="preserve">Техперевооружение конденсатора турбоагрегата ст. № 6 с заменой трубной системы, СП РГРЭС</t>
  </si>
  <si>
    <t>N_505-РГРЭС-2</t>
  </si>
  <si>
    <t xml:space="preserve">Техперевооружение комплекса инженерно-технических средств  физической защиты объектов РГРЭС</t>
  </si>
  <si>
    <t>F_505-АГ-10</t>
  </si>
  <si>
    <t xml:space="preserve">Модернизация АСУТП КАВД, с заменой КИПиА КА№9 СП РГРЭС</t>
  </si>
  <si>
    <t>N_505-РГРЭС-4</t>
  </si>
  <si>
    <t xml:space="preserve">Замена автомобильных весов с внедрением системы автоматизации, СП РГРЭС</t>
  </si>
  <si>
    <t>N_505-РГРЭС-5</t>
  </si>
  <si>
    <t xml:space="preserve">Замена масляного выключателя ШОВ-220 типа У-220 на элегазовый с комплектом РЗА, СП РГРЭС</t>
  </si>
  <si>
    <t>N_505-РГРЭС-6</t>
  </si>
  <si>
    <t xml:space="preserve">Модернизация комплектов ступенчатых защит  (КСЗ) ВЛ-220кВ РГРЭС-Завитая №2, на Райчихинской ГРЭС в пгт Прогресс</t>
  </si>
  <si>
    <t>Q_505-РГРЭС-12</t>
  </si>
  <si>
    <t xml:space="preserve">Модернизация подогревателя высокого давления ПВД-7 ТА ст.№7 на Райчихинской ГРЭС в пгт "Прогресс».</t>
  </si>
  <si>
    <t>Q_505-РГРЭС-13</t>
  </si>
  <si>
    <t xml:space="preserve">Реконструкция циркуляционной системы водоснабжения СП РГРЭС</t>
  </si>
  <si>
    <t>H_505-АГ-39</t>
  </si>
  <si>
    <t xml:space="preserve">Наращивание дамбы золоотвала № 2 СП РГРЭС</t>
  </si>
  <si>
    <t>H_505-АГ-41</t>
  </si>
  <si>
    <t xml:space="preserve">Замена аккумуляторной батареи СК-20-1 с устройством подзарядки и стабилизации напряжения постоянного тока, СП  РГРЭС</t>
  </si>
  <si>
    <t>N_505-АГ-95</t>
  </si>
  <si>
    <t xml:space="preserve">Покупка оборудования не входящего в сметы СП РГРЭС</t>
  </si>
  <si>
    <t xml:space="preserve">Приобретение объектов нематериальных активов СП РГРЭС</t>
  </si>
  <si>
    <t xml:space="preserve">Приморский край</t>
  </si>
  <si>
    <t xml:space="preserve">Инвестиционная программа № пр.19-259/2 от 29.08.2025 ФИЛИАЛ АО "ДГК" в сфере теплоснабжения по строительству, реконструкции, модернизации и развитию тепловых сетей на 2025-2030 годы</t>
  </si>
  <si>
    <t>29.08.2025</t>
  </si>
  <si>
    <t xml:space="preserve">1.Повышение надёжного и экономичного энергоснабжения потребителей тепловой и электрической энергией.   Повышение энергетичиской эффективности и энергосбережения.                                                                                                                                                                                           2. Выполнение требований федерального законодательства   Российской Федерации.                                                                                                                                                        </t>
  </si>
  <si>
    <t xml:space="preserve">Министерство жилищно-коммунального хозяйства Приморского края</t>
  </si>
  <si>
    <t xml:space="preserve">Партизанская ГРЭС, в т.ч.:</t>
  </si>
  <si>
    <t xml:space="preserve">Техническое перевооружение оборудования 1-ой очереди Партизанской ГРЭС с его переводом на работу с использованием дизельного топлива (к/а ст.№1 – ст.№5) и переносом ресиверов углекислоты №1 и №2,СП Партизанская ГРЭС</t>
  </si>
  <si>
    <t>N_505-ПГРЭС-153</t>
  </si>
  <si>
    <t xml:space="preserve">Модернизация АСУ и ТП турбинного и котельного оборудования Партизанской ГРЭС</t>
  </si>
  <si>
    <t>I_505-ПГг-78</t>
  </si>
  <si>
    <t xml:space="preserve">Техперевооружение комплекса инженерно-технических средств физической защиты СП «Партизанская ГРЭС» (ограждение, система охранной сигнализации, система охранного телевидения, система контроля и управления доступом, система сбора и обработки информации, система охранного освещения, система оповещения, система электропитания, система оперативной связи)</t>
  </si>
  <si>
    <t>H_505-ПГг-17</t>
  </si>
  <si>
    <t xml:space="preserve">Модернизация системы температурного контроля за состояниями подшипников паровых турбин ТГ №1,2  на Партизанской ГРЭС.</t>
  </si>
  <si>
    <t>N_505-ПГг-149</t>
  </si>
  <si>
    <t xml:space="preserve">Модернизация силового узла ОРУ-110 кВ, по техническому состоянию, с заменой масляного выключателя МВ-110 кВ ВЛ-110 "Находка/т" на элегазовый (вакуумный) выключатель 110 кВ в СП Партизанская ГРЭС</t>
  </si>
  <si>
    <t>N_505-ПГг-151</t>
  </si>
  <si>
    <t xml:space="preserve">Средства от компенсации расходов</t>
  </si>
  <si>
    <t xml:space="preserve">Модернизация подогревателя высокого давления ПВ 250-180-01 ПВД-8 ТА-2, ПВД-8 ТА-1, СП Партизанская ГРЭС</t>
  </si>
  <si>
    <t>O_505-ПГРЭС-156</t>
  </si>
  <si>
    <t xml:space="preserve">Модернизация схемы ТПУ-2н с установкой сетевого насоса № 4 СП Партизанской ГРЭС</t>
  </si>
  <si>
    <t>I_505-ПГг-82</t>
  </si>
  <si>
    <t xml:space="preserve">Установка локальной системы оповещения на гидротехнических сооружениях, СП Партизанская ГРЭС</t>
  </si>
  <si>
    <t>K_505-ПГг-122</t>
  </si>
  <si>
    <t xml:space="preserve">Замена грузопассажирского лифта в главном корпусе, г/п 1тн СП Партизанская ГРЭС</t>
  </si>
  <si>
    <t>K_505-ПГг-123</t>
  </si>
  <si>
    <t xml:space="preserve">Техперевооружение 1 и 2 секции брызгального бассейна, СП Партизанская ГРЭС</t>
  </si>
  <si>
    <t>K_505-ПГг-124</t>
  </si>
  <si>
    <t xml:space="preserve">Установка системы пожаротушения трансформаторов ст. № Т-1, Т-2, АТ-1,2 СП Партизанская ГРЭС</t>
  </si>
  <si>
    <t>K_505-ПГг-128</t>
  </si>
  <si>
    <t xml:space="preserve">Разработка ПИР для проекта "Реконструкция существующего золошлакоотвала "Зеленая балка" от отметки 160 метров до отметки 200 метров и оборотной системы транспорта золошлаковых отходов в системе гидро-золоудаления СП Партизанская ГРЭС" </t>
  </si>
  <si>
    <t>P_505-ПГРЭС-162</t>
  </si>
  <si>
    <t xml:space="preserve">Разработка и внедрение отечественных устройств воспламенения и стабилизации факельного горения угольной пыли без использования дополнительного жидкого топлива для СП «Партизанская ГРЭС»</t>
  </si>
  <si>
    <t>P_505-ПГРЭС-156на</t>
  </si>
  <si>
    <t xml:space="preserve">Разработка и внедрение технических решений по созданию высокоэффективной установки очистки воды для нужд подпитки барабанных котлов давлением 100 кгс/см2 СП Партизанская ГРЭС (производительность установки - 60 т/ч)</t>
  </si>
  <si>
    <t>L_505-ПГг-138на</t>
  </si>
  <si>
    <t xml:space="preserve">Покупка оборудования не входящего в сметы СП ПГРЭС</t>
  </si>
  <si>
    <t xml:space="preserve">Приобретение объектов нематериальных активов СП ПГРЭС</t>
  </si>
  <si>
    <t xml:space="preserve">Артемовская ТЭЦ, в т.ч.:</t>
  </si>
  <si>
    <t xml:space="preserve">Реконструкция градирни №3 СП Артёмовская ТЭЦ</t>
  </si>
  <si>
    <t>N_505АрТЭЦ-1</t>
  </si>
  <si>
    <t xml:space="preserve">Наращивание дамб  золоотвала №1 Артемовской ТЭЦ  на 1778 тыс. м3</t>
  </si>
  <si>
    <t>F_505-ПГг-24</t>
  </si>
  <si>
    <t xml:space="preserve">Модернизация АСУ и ТП турбинного и котельного оборудования Артемовской ТЭЦ</t>
  </si>
  <si>
    <t>I_505-ПГг-80</t>
  </si>
  <si>
    <t xml:space="preserve">Замена ПЭНов в сборе с электродвигателем 7шт. (2023г - № 8, 15, 10,12, 2024г. - №7,13,14) СП Артёмовская ТЭЦ </t>
  </si>
  <si>
    <t>N_505АрТЭЦ-3</t>
  </si>
  <si>
    <t xml:space="preserve">Техперевооружение комплекса инженерно-технических средств физической защиты СП «Артемовская ТЭЦ» (ограждение, система охранной сигнализации, система охранного телевидения, система контроля и управления доступом, система сбора и обработки информации, система охранного освещения, система оповещения , система электропитания, система оперативной связи)</t>
  </si>
  <si>
    <t>H_505-ПГг-18</t>
  </si>
  <si>
    <t xml:space="preserve">Установка автоматизированной системы мониторинга аккумуляторных батарей,4 шт. СП Артемовская ТЭЦ</t>
  </si>
  <si>
    <t>P_505-АрТЭЦ-10</t>
  </si>
  <si>
    <t xml:space="preserve">Покупка оборудования не входящего в сметы СП АРТЭЦ</t>
  </si>
  <si>
    <t xml:space="preserve">Приобретение объектов нематериальных активов СП АРТЭЦ</t>
  </si>
  <si>
    <t xml:space="preserve">ТЭЦ Восточная, в т.ч.:</t>
  </si>
  <si>
    <t xml:space="preserve">Техперевооружение системы управления информационной безопасности, СП ТЭЦ Восточная</t>
  </si>
  <si>
    <t>N_505-ТЭЦВост-2</t>
  </si>
  <si>
    <t xml:space="preserve">Техперевооружение громкоговорящей связи Восточной ТЭЦ</t>
  </si>
  <si>
    <t>N_505-ПГг-160</t>
  </si>
  <si>
    <t xml:space="preserve">Установка системы мониторинга аккумуляторных батарей 1 шт. СП ТЭЦ Восточная</t>
  </si>
  <si>
    <t>P_505-ТЭЦВост-7</t>
  </si>
  <si>
    <t xml:space="preserve">Замена насосов рециркуляции сетевой воды пиковой водогрейной котельной Восточная ТЭЦ, 9 шт</t>
  </si>
  <si>
    <t>N_505-ПГг-161</t>
  </si>
  <si>
    <t xml:space="preserve">Устройство площадки для хранения металлолома на территории Восточной ТЭЦ"</t>
  </si>
  <si>
    <t>O_505-ТЭЦВост-5</t>
  </si>
  <si>
    <t xml:space="preserve">Разработка ПИР для реализации проекта "Техническое перевооружение технологических трубопроводов, устройств и сооружений СП ТЭЦ Восточная"</t>
  </si>
  <si>
    <t>O_505-ТЭЦВост-6</t>
  </si>
  <si>
    <t xml:space="preserve">Республика САХА (Якутия)</t>
  </si>
  <si>
    <t xml:space="preserve">Инвестиционная программа № 300 от 28.07.2025 ФИЛИАЛ АО "ДГК" в сфере теплоснабжения по модернизации, реконструкции и техническому перевооружению объектов, на территории городского поселения Город Нерюнгри, Нерюнгринский муниципальный район на 2025-2030 годы</t>
  </si>
  <si>
    <t xml:space="preserve">1.Повышение надёжного и экономичного энергоснабжения потребителей тепловой и электрической энергией.  Повышение энергетической эффективности и энергосбережения.                                                                                                                                                                                                                                2.Выполнения требований законодательства Российской Федерации.                                                                        </t>
  </si>
  <si>
    <t xml:space="preserve">Министерство жилищно-коммунального хозяйства и энергетики Республики Саха (Якутия)</t>
  </si>
  <si>
    <t xml:space="preserve">Нерюнгринская ГРЭС, в т.ч.:</t>
  </si>
  <si>
    <t xml:space="preserve">Разработка ПИР на модернизацию технологических защит энергоблоков №1, 2, 3 Нерюнгринской ГРЭС</t>
  </si>
  <si>
    <t>O_505-НГ-144</t>
  </si>
  <si>
    <t xml:space="preserve">Наращивание дамбы шлакозолоотвала №1 НГРЭС</t>
  </si>
  <si>
    <t>J_505-НГ-75</t>
  </si>
  <si>
    <t xml:space="preserve">Установка резервных трубопроводов азота и водорода от ЭУ  до ТГ-1,2,3 НГРЭС с модернизацией газовых постов генераторов ТГ-2 ,ТГ-1,ТГ-3 НГРЭС</t>
  </si>
  <si>
    <t>J_505-НГ-83</t>
  </si>
  <si>
    <t xml:space="preserve">Замена дробильно-фрезеровочных машин Нерюнгринской ГРЭС (6 шт.)</t>
  </si>
  <si>
    <t>N_505-НГ-120</t>
  </si>
  <si>
    <t xml:space="preserve">Замена оборудования энергоблока ст.№1 НГРЭС (насосы с эл. двиг.: ПЭН-1Б, ЦН-1А, ЦН-1Б; ГВ ВГ-1; МВ В-1Т 110кВ)</t>
  </si>
  <si>
    <t>L_505-НГ-103</t>
  </si>
  <si>
    <t xml:space="preserve">Замена оборудования энергоблока ст.№2 НГРЭС (РВД, РСД; генератор; ГВ ВГ-2; насос ПЭН-2А с эл. двиг.; 2Т ТДЦ-250/110; МВ В-2Т 110кВ).</t>
  </si>
  <si>
    <t>L_505-НГ-104</t>
  </si>
  <si>
    <t xml:space="preserve">Замена оборудования энергоблока ст.№3 НГРЭС (3Т ТДЦ-250/220 кВ; насос ПЭН-3А с эл. двиг., ВГ-3)</t>
  </si>
  <si>
    <t>L_505-НГ-105</t>
  </si>
  <si>
    <t xml:space="preserve">Техперевооружение системы выдачи электрической мощности НГРЭС (ТТ: В-201, 202; МВ: В-114, В-115, В-203, В-201, В-110-1АТ, В-110-2АТ, В-220-1АТ, В-220-2АТ, В-202; РЗА: В-114, В-115, В-203, В-201, В-202; АТ с РЗА: 1АТ, 2АТ)</t>
  </si>
  <si>
    <t>L_505-НГ-106</t>
  </si>
  <si>
    <t xml:space="preserve">Установка системы автоматического регулирования мощности энергоблоков № 1, 2, 3 Нерюнгринской ГРЭС</t>
  </si>
  <si>
    <t>F_505-НГ-16</t>
  </si>
  <si>
    <t xml:space="preserve">Замена электродвигателей напряжением 6кВ КЭН, КЭНб блок № 1,2,3 Нерюнгринской ГРЭС</t>
  </si>
  <si>
    <t>O_505-НГ-132</t>
  </si>
  <si>
    <t xml:space="preserve">Установка исполнительных механизмов МЭО, НГРЭС, 6 шт.</t>
  </si>
  <si>
    <t>O_505-НГ-133</t>
  </si>
  <si>
    <t xml:space="preserve">Техперевооружение комплекса инженерно-технических средств физической защиты НГРЭС</t>
  </si>
  <si>
    <t>F_505-НГ-11</t>
  </si>
  <si>
    <t xml:space="preserve">Техперевооружение комплекса инженерно-технических средств физической защиты ЧТЭЦ</t>
  </si>
  <si>
    <t>F_505-НГ-12</t>
  </si>
  <si>
    <t xml:space="preserve">Расширение открытого распределительного устройства (ОРУ) 220 кВ НГРЭС на одну ячейку</t>
  </si>
  <si>
    <t>F_505-НГ-5</t>
  </si>
  <si>
    <t xml:space="preserve">Средства от компенсации (ФСК)</t>
  </si>
  <si>
    <t xml:space="preserve">Техническое перевооружение маслосистемы с установкой второй маслоочистительной установки ТА-3 Нерюнгринской ГРЭС</t>
  </si>
  <si>
    <t>O_505-НГ-139</t>
  </si>
  <si>
    <t xml:space="preserve">Разработка ПИР на системы освещения и вентиляции ММХ Нерюнгринской ГРЭС</t>
  </si>
  <si>
    <t>O_505-НГ-146</t>
  </si>
  <si>
    <t xml:space="preserve">Разработка ПИР для проекта «Замена обмывочных/обдувочных аппаратов на котлоагрегатах ТПЕ-214 СЗХЛ (Еп-670-13,8-545КТ) ст. № 1,2,3 Нерюнгринской ГРЭС»</t>
  </si>
  <si>
    <t>Q_505-НГ-162</t>
  </si>
  <si>
    <t xml:space="preserve">Разработка ПИР для проекта «Реконструкция системы пылеприготовления на котлоагрегатах ТПЕ-214 СЗХЛ (Еп-670-13,8-545КТ)  ст. № 1,2,3 Нерюнгринской ГРЭС»</t>
  </si>
  <si>
    <t>Q_505-НГ-163</t>
  </si>
  <si>
    <t>Кредит</t>
  </si>
  <si>
    <t xml:space="preserve">Установка автомобильных весов НГРЭС, 1 шт. </t>
  </si>
  <si>
    <t>I_505-НГ-64</t>
  </si>
  <si>
    <t xml:space="preserve">Модернизация релейной защиты и автоматики (РЗА) НГРЭС </t>
  </si>
  <si>
    <t>L_505-НГ-102</t>
  </si>
  <si>
    <t xml:space="preserve">Покупка оборудования не входящего в сметы СП НГРЭС</t>
  </si>
  <si>
    <t xml:space="preserve">Приобретение объектов нематериальных активов СП НГРЭС</t>
  </si>
  <si>
    <t>ИТОГО</t>
  </si>
  <si>
    <t xml:space="preserve">Экономия по торгам,от закупок</t>
  </si>
  <si>
    <t xml:space="preserve">Повышающий коэффициент</t>
  </si>
  <si>
    <t xml:space="preserve">Возмещение по страх.случаю</t>
  </si>
  <si>
    <t xml:space="preserve">Предпринимательская прибыль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</si>
</sst>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&quot;р.&quot;_-;\-* #,##0.00&quot;р.&quot;_-;_-* &quot;-&quot;??&quot;р.&quot;_-;_-@_-"/>
    <numFmt numFmtId="161" formatCode="_-* #,##0.00_-;_-* #,##0.00\-;_-* &quot;-&quot;??_-;_-@_-"/>
    <numFmt numFmtId="162" formatCode="General_)"/>
    <numFmt numFmtId="163" formatCode="0.0"/>
    <numFmt numFmtId="164" formatCode="_-* #,##0_р_._-;\-* #,##0_р_._-;_-* &quot;-&quot;_р_._-;_-@_-"/>
    <numFmt numFmtId="165" formatCode="_-* #,##0.00_р_._-;\-* #,##0.00_р_._-;_-* &quot;-&quot;??_р_._-;_-@_-"/>
    <numFmt numFmtId="166" formatCode="#,##0_ ;\-#,##0\ "/>
    <numFmt numFmtId="167" formatCode="_-* #,##0.00\ _р_._-;\-* #,##0.00\ _р_._-;_-* &quot;-&quot;??\ _р_._-;_-@_-"/>
  </numFmts>
  <fonts count="43">
    <font>
      <sz val="12.000000"/>
      <color theme="1"/>
      <name val="Times New Roman"/>
    </font>
    <font>
      <sz val="10.000000"/>
      <name val="Helv"/>
    </font>
    <font>
      <sz val="10.000000"/>
      <name val="Arial Cyr"/>
    </font>
    <font>
      <sz val="1.000000"/>
      <name val="Courier"/>
    </font>
    <font>
      <b/>
      <sz val="1.000000"/>
      <name val="Courier"/>
    </font>
    <font>
      <sz val="10.000000"/>
      <name val="MS Sans Serif"/>
    </font>
    <font>
      <sz val="11.000000"/>
      <name val="Calibri"/>
    </font>
    <font>
      <sz val="11.000000"/>
      <color indexed="65"/>
      <name val="Calibri"/>
    </font>
    <font>
      <sz val="8.000000"/>
      <name val="Helv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sz val="12.000000"/>
      <name val="Times New Roman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0.000000"/>
      <color indexed="4"/>
      <name val="Arial Cyr"/>
    </font>
    <font>
      <sz val="9.000000"/>
      <name val="Tahoma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"/>
    </font>
    <font>
      <sz val="12.000000"/>
      <name val="Calibri"/>
    </font>
    <font>
      <sz val="11.000000"/>
      <name val="SimSun"/>
    </font>
    <font>
      <sz val="11.000000"/>
      <color theme="1"/>
      <name val="Calibri"/>
      <scheme val="minor"/>
    </font>
    <font>
      <sz val="11.000000"/>
      <color indexed="20"/>
      <name val="Calibri"/>
    </font>
    <font>
      <sz val="11.000000"/>
      <name val="Times New Roman CYR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0.000000"/>
      <name val="NTHarmonica"/>
    </font>
    <font>
      <sz val="11.000000"/>
      <color indexed="17"/>
      <name val="Calibri"/>
    </font>
    <font>
      <sz val="14.000000"/>
      <name val="Times New Roman"/>
    </font>
    <font>
      <b/>
      <sz val="22.000000"/>
      <name val="Times New Roman"/>
    </font>
    <font>
      <b/>
      <sz val="14.000000"/>
      <name val="Times New Roman"/>
    </font>
    <font>
      <b/>
      <sz val="16.000000"/>
      <name val="Times New Roman"/>
    </font>
    <font>
      <b/>
      <sz val="14.000000"/>
      <name val="Times New Roman CYR"/>
    </font>
    <font>
      <b/>
      <sz val="12.000000"/>
      <name val="Times New Roman"/>
    </font>
    <font>
      <sz val="14.000000"/>
      <name val="Times New Roman Cyr"/>
    </font>
    <font>
      <b/>
      <sz val="18.000000"/>
      <name val="Times New Roman"/>
    </font>
    <font>
      <sz val="18.000000"/>
      <name val="Times New Roman Cyr"/>
    </font>
    <font>
      <sz val="18.000000"/>
      <name val="Times New Roman"/>
    </font>
  </fonts>
  <fills count="29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C000"/>
        <bgColor rgb="FFFFC000"/>
      </patternFill>
    </fill>
  </fills>
  <borders count="46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</borders>
  <cellStyleXfs count="207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3" fillId="0" borderId="1" numFmtId="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2" fillId="0" borderId="1" numFmtId="161" applyNumberFormat="1" applyFont="1" applyFill="1" applyBorder="1">
      <protection locked="0"/>
    </xf>
    <xf fontId="5" fillId="2" borderId="0" numFmtId="0" applyNumberFormat="1" applyFont="1" applyFill="1" applyBorder="1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7" fillId="13" borderId="0" numFmtId="0" applyNumberFormat="0" applyFont="1" applyFill="1" applyBorder="0" applyProtection="0"/>
    <xf fontId="7" fillId="10" borderId="0" numFmtId="0" applyNumberFormat="0" applyFont="1" applyFill="1" applyBorder="0" applyProtection="0"/>
    <xf fontId="7" fillId="11" borderId="0" numFmtId="0" applyNumberFormat="0" applyFont="1" applyFill="1" applyBorder="0" applyProtection="0"/>
    <xf fontId="7" fillId="14" borderId="0" numFmtId="0" applyNumberFormat="0" applyFont="1" applyFill="1" applyBorder="0" applyProtection="0"/>
    <xf fontId="7" fillId="15" borderId="0" numFmtId="0" applyNumberFormat="0" applyFont="1" applyFill="1" applyBorder="0" applyProtection="0"/>
    <xf fontId="7" fillId="16" borderId="0" numFmtId="0" applyNumberFormat="0" applyFont="1" applyFill="1" applyBorder="0" applyProtection="0"/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2" fillId="0" borderId="0" numFmtId="161" applyNumberFormat="1" applyFont="1" applyFill="1" applyBorder="1">
      <protection locked="0"/>
    </xf>
    <xf fontId="5" fillId="0" borderId="2" numFmtId="0" applyNumberFormat="1" applyFont="1" applyFill="1" applyBorder="1"/>
    <xf fontId="1" fillId="0" borderId="0" numFmtId="0" applyNumberFormat="1" applyFont="1" applyFill="1" applyBorder="1"/>
    <xf fontId="8" fillId="0" borderId="0" numFmtId="0" applyNumberFormat="1" applyFont="1" applyFill="1" applyBorder="1"/>
    <xf fontId="8" fillId="0" borderId="0" numFmtId="0" applyNumberFormat="0" applyFont="1" applyFill="1" applyBorder="1">
      <alignment horizontal="left"/>
    </xf>
    <xf fontId="7" fillId="17" borderId="0" numFmtId="0" applyNumberFormat="0" applyFont="1" applyFill="1" applyBorder="0" applyProtection="0"/>
    <xf fontId="7" fillId="18" borderId="0" numFmtId="0" applyNumberFormat="0" applyFont="1" applyFill="1" applyBorder="0" applyProtection="0"/>
    <xf fontId="7" fillId="19" borderId="0" numFmtId="0" applyNumberFormat="0" applyFont="1" applyFill="1" applyBorder="0" applyProtection="0"/>
    <xf fontId="7" fillId="14" borderId="0" numFmtId="0" applyNumberFormat="0" applyFont="1" applyFill="1" applyBorder="0" applyProtection="0"/>
    <xf fontId="7" fillId="15" borderId="0" numFmtId="0" applyNumberFormat="0" applyFont="1" applyFill="1" applyBorder="0" applyProtection="0"/>
    <xf fontId="7" fillId="20" borderId="0" numFmtId="0" applyNumberFormat="0" applyFont="1" applyFill="1" applyBorder="0" applyProtection="0"/>
    <xf fontId="2" fillId="0" borderId="3" numFmtId="162" applyNumberFormat="1" applyFont="1" applyFill="1" applyBorder="1">
      <protection locked="0"/>
    </xf>
    <xf fontId="9" fillId="8" borderId="4" numFmtId="0" applyNumberFormat="0" applyFont="1" applyFill="1" applyBorder="1" applyProtection="0"/>
    <xf fontId="10" fillId="21" borderId="5" numFmtId="0" applyNumberFormat="0" applyFont="1" applyFill="1" applyBorder="1" applyProtection="0"/>
    <xf fontId="11" fillId="21" borderId="4" numFmtId="0" applyNumberFormat="0" applyFont="1" applyFill="1" applyBorder="1" applyProtection="0"/>
    <xf fontId="12" fillId="0" borderId="0" numFmtId="160" applyNumberFormat="1" applyFont="0" applyFill="0" applyBorder="0" applyProtection="0"/>
    <xf fontId="13" fillId="0" borderId="6" numFmtId="0" applyNumberFormat="0" applyFont="1" applyFill="0" applyBorder="1" applyProtection="0"/>
    <xf fontId="14" fillId="0" borderId="7" numFmtId="0" applyNumberFormat="0" applyFont="1" applyFill="0" applyBorder="1" applyProtection="0"/>
    <xf fontId="15" fillId="0" borderId="8" numFmtId="0" applyNumberFormat="0" applyFont="1" applyFill="0" applyBorder="1" applyProtection="0"/>
    <xf fontId="15" fillId="0" borderId="0" numFmtId="0" applyNumberFormat="0" applyFont="1" applyFill="0" applyBorder="0" applyProtection="0"/>
    <xf fontId="16" fillId="7" borderId="3" numFmtId="162" applyNumberFormat="1" applyFont="1" applyFill="1" applyBorder="1"/>
    <xf fontId="17" fillId="22" borderId="9" numFmtId="4" applyNumberFormat="1" applyFont="1" applyFill="1" applyBorder="0">
      <alignment horizontal="right"/>
    </xf>
    <xf fontId="18" fillId="0" borderId="10" numFmtId="0" applyNumberFormat="0" applyFont="1" applyFill="0" applyBorder="1" applyProtection="0"/>
    <xf fontId="19" fillId="23" borderId="11" numFmtId="0" applyNumberFormat="0" applyFont="1" applyFill="1" applyBorder="1" applyProtection="0"/>
    <xf fontId="20" fillId="0" borderId="0" numFmtId="0" applyNumberFormat="0" applyFont="1" applyFill="0" applyBorder="0" applyProtection="0"/>
    <xf fontId="21" fillId="22" borderId="0" numFmtId="0" applyNumberFormat="0" applyFont="1" applyFill="1" applyBorder="0" applyProtection="0"/>
    <xf fontId="12" fillId="0" borderId="0" numFmtId="0" applyNumberFormat="1" applyFont="1" applyFill="1" applyBorder="1"/>
    <xf fontId="22" fillId="0" borderId="0" numFmtId="0" applyNumberFormat="1" applyFont="1" applyFill="1" applyBorder="1"/>
    <xf fontId="2" fillId="0" borderId="0" numFmtId="0" applyNumberFormat="1" applyFont="1" applyFill="1" applyBorder="1"/>
    <xf fontId="6" fillId="0" borderId="0" numFmtId="0" applyNumberFormat="1" applyFont="1" applyFill="1" applyBorder="1"/>
    <xf fontId="2" fillId="0" borderId="0" numFmtId="0" applyNumberFormat="1" applyFont="1" applyFill="1" applyBorder="1"/>
    <xf fontId="22" fillId="0" borderId="0" numFmtId="0" applyNumberFormat="1" applyFont="1" applyFill="1" applyBorder="1"/>
    <xf fontId="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22" fillId="0" borderId="0" numFmtId="0" applyNumberFormat="1" applyFont="1" applyFill="1" applyBorder="1"/>
    <xf fontId="23" fillId="0" borderId="0" numFmtId="0" applyNumberFormat="1" applyFont="1" applyFill="1" applyBorder="1"/>
    <xf fontId="24" fillId="0" borderId="0" numFmtId="0" applyNumberFormat="1" applyFont="1" applyFill="1" applyBorder="1"/>
    <xf fontId="2" fillId="0" borderId="0" numFmtId="0" applyNumberFormat="1" applyFont="1" applyFill="1" applyBorder="1"/>
    <xf fontId="24" fillId="0" borderId="0" numFmtId="0" applyNumberFormat="1" applyFont="1" applyFill="1" applyBorder="1"/>
    <xf fontId="24" fillId="0" borderId="0" numFmtId="0" applyNumberFormat="1" applyFont="1" applyFill="1" applyBorder="1"/>
    <xf fontId="22" fillId="0" borderId="0" numFmtId="0" applyNumberFormat="1" applyFont="1" applyFill="1" applyBorder="1"/>
    <xf fontId="24" fillId="0" borderId="0" numFmtId="0" applyNumberFormat="1" applyFont="1" applyFill="1" applyBorder="1"/>
    <xf fontId="2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25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2" fillId="0" borderId="0" numFmtId="0" applyNumberFormat="1" applyFont="1" applyFill="1" applyBorder="1"/>
    <xf fontId="26" fillId="4" borderId="0" numFmtId="0" applyNumberFormat="0" applyFont="1" applyFill="1" applyBorder="0" applyProtection="0"/>
    <xf fontId="27" fillId="22" borderId="12" numFmtId="163" applyNumberFormat="0" applyFont="1" applyFill="1" applyBorder="0">
      <alignment vertical="center"/>
      <protection locked="0"/>
    </xf>
    <xf fontId="28" fillId="0" borderId="0" numFmtId="0" applyNumberFormat="0" applyFont="1" applyFill="0" applyBorder="0" applyProtection="0"/>
    <xf fontId="6" fillId="24" borderId="13" numFmtId="0" applyNumberFormat="0" applyFont="0" applyFill="1" applyBorder="1" applyProtection="0"/>
    <xf fontId="6" fillId="24" borderId="13" numFmtId="0" applyNumberFormat="0" applyFont="0" applyFill="1" applyBorder="1" applyProtection="0"/>
    <xf fontId="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" fillId="0" borderId="0" numFmtId="9" applyNumberFormat="1" applyFont="0" applyFill="0" applyBorder="0" applyProtection="0"/>
    <xf fontId="29" fillId="0" borderId="14" numFmtId="0" applyNumberFormat="0" applyFont="1" applyFill="0" applyBorder="1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30" fillId="0" borderId="0" numFmtId="0" applyNumberFormat="0" applyFont="1" applyFill="0" applyBorder="0" applyProtection="0"/>
    <xf fontId="31" fillId="0" borderId="0" numFmtId="164" applyNumberFormat="1" applyFont="0" applyFill="0" applyBorder="0" applyProtection="0"/>
    <xf fontId="31" fillId="0" borderId="0" numFmtId="165" applyNumberFormat="1" applyFont="0" applyFill="0" applyBorder="0" applyProtection="0"/>
    <xf fontId="25" fillId="0" borderId="0" numFmtId="165" applyNumberFormat="1" applyFont="0" applyFill="0" applyBorder="0" applyProtection="0"/>
    <xf fontId="25" fillId="0" borderId="0" numFmtId="165" applyNumberFormat="1" applyFont="0" applyFill="0" applyBorder="0" applyProtection="0"/>
    <xf fontId="2" fillId="0" borderId="0" numFmtId="165" applyNumberFormat="1" applyFont="0" applyFill="0" applyBorder="0" applyProtection="0"/>
    <xf fontId="22" fillId="0" borderId="0" numFmtId="166" applyNumberFormat="1" applyFont="0" applyFill="0" applyBorder="0" applyProtection="0"/>
    <xf fontId="25" fillId="0" borderId="0" numFmtId="165" applyNumberFormat="1" applyFont="0" applyFill="0" applyBorder="0" applyProtection="0"/>
    <xf fontId="25" fillId="0" borderId="0" numFmtId="165" applyNumberFormat="1" applyFont="0" applyFill="0" applyBorder="0" applyProtection="0"/>
    <xf fontId="25" fillId="0" borderId="0" numFmtId="167" applyNumberFormat="1" applyFont="0" applyFill="0" applyBorder="0" applyProtection="0"/>
    <xf fontId="2" fillId="0" borderId="0" numFmtId="165" applyNumberFormat="1" applyFont="0" applyFill="0" applyBorder="0" applyProtection="0"/>
    <xf fontId="25" fillId="0" borderId="0" numFmtId="167" applyNumberFormat="1" applyFont="0" applyFill="0" applyBorder="0" applyProtection="0"/>
    <xf fontId="12" fillId="0" borderId="0" numFmtId="165" applyNumberFormat="1" applyFont="0" applyFill="0" applyBorder="0" applyProtection="0"/>
    <xf fontId="25" fillId="0" borderId="0" numFmtId="167" applyNumberFormat="1" applyFont="0" applyFill="0" applyBorder="0" applyProtection="0"/>
    <xf fontId="25" fillId="0" borderId="0" numFmtId="167" applyNumberFormat="1" applyFont="0" applyFill="0" applyBorder="0" applyProtection="0"/>
    <xf fontId="2" fillId="0" borderId="0" numFmtId="165" applyNumberFormat="1" applyFont="0" applyFill="0" applyBorder="0" applyProtection="0"/>
    <xf fontId="12" fillId="0" borderId="0" numFmtId="165" applyNumberFormat="1" applyFont="0" applyFill="0" applyBorder="0" applyProtection="0"/>
    <xf fontId="12" fillId="0" borderId="0" numFmtId="165" applyNumberFormat="1" applyFont="0" applyFill="0" applyBorder="0" applyProtection="0"/>
    <xf fontId="17" fillId="5" borderId="0" numFmtId="4" applyNumberFormat="1" applyFont="0" applyFill="1" applyBorder="0">
      <alignment horizontal="right"/>
    </xf>
    <xf fontId="32" fillId="5" borderId="0" numFmtId="0" applyNumberFormat="0" applyFont="1" applyFill="1" applyBorder="0" applyProtection="0"/>
    <xf fontId="3" fillId="0" borderId="0" numFmtId="160" applyNumberFormat="1" applyFont="1" applyFill="1" applyBorder="1">
      <protection locked="0"/>
    </xf>
  </cellStyleXfs>
  <cellXfs count="127">
    <xf fontId="0" fillId="0" borderId="0" numFmtId="0" xfId="0"/>
    <xf fontId="12" fillId="0" borderId="0" numFmtId="0" xfId="139" applyFont="1"/>
    <xf fontId="12" fillId="25" borderId="0" numFmtId="0" xfId="139" applyFont="1" applyFill="1" applyAlignment="1">
      <alignment horizontal="left"/>
    </xf>
    <xf fontId="12" fillId="25" borderId="0" numFmtId="0" xfId="139" applyFont="1" applyFill="1"/>
    <xf fontId="33" fillId="25" borderId="0" numFmtId="0" xfId="139" applyFont="1" applyFill="1"/>
    <xf fontId="34" fillId="0" borderId="0" numFmtId="0" xfId="139" applyFont="1" applyAlignment="1">
      <alignment horizontal="center" vertical="top"/>
    </xf>
    <xf fontId="35" fillId="0" borderId="15" numFmtId="0" xfId="139" applyFont="1" applyBorder="1" applyAlignment="1">
      <alignment horizontal="center" vertical="center"/>
    </xf>
    <xf fontId="35" fillId="0" borderId="16" numFmtId="0" xfId="139" applyFont="1" applyBorder="1" applyAlignment="1">
      <alignment horizontal="center" vertical="center"/>
    </xf>
    <xf fontId="35" fillId="0" borderId="17" numFmtId="0" xfId="139" applyFont="1" applyBorder="1" applyAlignment="1">
      <alignment horizontal="center" vertical="center"/>
    </xf>
    <xf fontId="35" fillId="0" borderId="18" numFmtId="0" xfId="139" applyFont="1" applyBorder="1" applyAlignment="1">
      <alignment horizontal="center" vertical="center" wrapText="1"/>
    </xf>
    <xf fontId="35" fillId="0" borderId="19" numFmtId="0" xfId="139" applyFont="1" applyBorder="1" applyAlignment="1">
      <alignment horizontal="center" vertical="center" wrapText="1"/>
    </xf>
    <xf fontId="35" fillId="0" borderId="19" numFmtId="0" xfId="139" applyFont="1" applyBorder="1" applyAlignment="1">
      <alignment horizontal="center" vertical="center"/>
    </xf>
    <xf fontId="35" fillId="0" borderId="20" numFmtId="0" xfId="139" applyFont="1" applyBorder="1" applyAlignment="1">
      <alignment horizontal="center" vertical="center"/>
    </xf>
    <xf fontId="35" fillId="0" borderId="21" numFmtId="0" xfId="139" applyFont="1" applyBorder="1" applyAlignment="1">
      <alignment horizontal="center" vertical="center" wrapText="1"/>
    </xf>
    <xf fontId="35" fillId="0" borderId="9" numFmtId="0" xfId="139" applyFont="1" applyBorder="1" applyAlignment="1">
      <alignment horizontal="center" vertical="center" wrapText="1"/>
    </xf>
    <xf fontId="35" fillId="25" borderId="9" numFmtId="0" xfId="139" applyFont="1" applyFill="1" applyBorder="1" applyAlignment="1">
      <alignment horizontal="left" vertical="center" wrapText="1"/>
    </xf>
    <xf fontId="35" fillId="25" borderId="9" numFmtId="0" xfId="139" applyFont="1" applyFill="1" applyBorder="1" applyAlignment="1">
      <alignment horizontal="center" vertical="center" wrapText="1"/>
    </xf>
    <xf fontId="35" fillId="0" borderId="22" numFmtId="0" xfId="139" applyFont="1" applyBorder="1" applyAlignment="1">
      <alignment horizontal="center" vertical="center" wrapText="1"/>
    </xf>
    <xf fontId="35" fillId="0" borderId="23" numFmtId="0" xfId="139" applyFont="1" applyBorder="1" applyAlignment="1">
      <alignment horizontal="center" vertical="center" wrapText="1"/>
    </xf>
    <xf fontId="35" fillId="0" borderId="24" numFmtId="0" xfId="139" applyFont="1" applyBorder="1" applyAlignment="1">
      <alignment horizontal="center" vertical="center" wrapText="1"/>
    </xf>
    <xf fontId="35" fillId="25" borderId="24" numFmtId="0" xfId="139" applyFont="1" applyFill="1" applyBorder="1" applyAlignment="1">
      <alignment horizontal="left" vertical="center" wrapText="1"/>
    </xf>
    <xf fontId="35" fillId="25" borderId="24" numFmtId="0" xfId="139" applyFont="1" applyFill="1" applyBorder="1" applyAlignment="1">
      <alignment horizontal="center" vertical="center" wrapText="1"/>
    </xf>
    <xf fontId="35" fillId="0" borderId="25" numFmtId="0" xfId="139" applyFont="1" applyBorder="1" applyAlignment="1">
      <alignment horizontal="center" vertical="center" wrapText="1"/>
    </xf>
    <xf fontId="12" fillId="0" borderId="0" numFmtId="4" xfId="139" applyNumberFormat="1" applyFont="1"/>
    <xf fontId="35" fillId="0" borderId="26" numFmtId="0" xfId="139" applyFont="1" applyBorder="1" applyAlignment="1">
      <alignment horizontal="center"/>
    </xf>
    <xf fontId="35" fillId="0" borderId="27" numFmtId="0" xfId="139" applyFont="1" applyBorder="1" applyAlignment="1">
      <alignment horizontal="center"/>
    </xf>
    <xf fontId="35" fillId="25" borderId="27" numFmtId="0" xfId="139" applyFont="1" applyFill="1" applyBorder="1" applyAlignment="1">
      <alignment horizontal="left" vertical="center" wrapText="1"/>
    </xf>
    <xf fontId="35" fillId="25" borderId="27" numFmtId="0" xfId="139" applyFont="1" applyFill="1" applyBorder="1" applyAlignment="1">
      <alignment horizontal="center"/>
    </xf>
    <xf fontId="35" fillId="0" borderId="28" numFmtId="0" xfId="139" applyFont="1" applyBorder="1" applyAlignment="1">
      <alignment horizontal="center"/>
    </xf>
    <xf fontId="12" fillId="0" borderId="29" numFmtId="0" xfId="139" applyFont="1" applyBorder="1"/>
    <xf fontId="12" fillId="0" borderId="30" numFmtId="0" xfId="139" applyFont="1" applyBorder="1"/>
    <xf fontId="36" fillId="25" borderId="30" numFmtId="0" xfId="0" applyFont="1" applyFill="1" applyBorder="1" applyAlignment="1">
      <alignment horizontal="left" vertical="center" wrapText="1"/>
    </xf>
    <xf fontId="36" fillId="25" borderId="30" numFmtId="3" xfId="139" applyNumberFormat="1" applyFont="1" applyFill="1" applyBorder="1" applyAlignment="1">
      <alignment horizontal="center" vertical="center"/>
    </xf>
    <xf fontId="12" fillId="0" borderId="31" numFmtId="0" xfId="139" applyFont="1" applyBorder="1" applyAlignment="1">
      <alignment wrapText="1"/>
    </xf>
    <xf fontId="12" fillId="0" borderId="0" numFmtId="3" xfId="139" applyNumberFormat="1" applyFont="1"/>
    <xf fontId="33" fillId="0" borderId="0" numFmtId="0" xfId="139" applyFont="1"/>
    <xf fontId="33" fillId="0" borderId="32" numFmtId="0" xfId="139" applyFont="1" applyBorder="1"/>
    <xf fontId="33" fillId="0" borderId="33" numFmtId="0" xfId="139" applyFont="1" applyBorder="1"/>
    <xf fontId="35" fillId="25" borderId="33" numFmtId="0" xfId="168" applyFont="1" applyFill="1" applyBorder="1" applyAlignment="1">
      <alignment horizontal="left" wrapText="1"/>
    </xf>
    <xf fontId="35" fillId="25" borderId="33" numFmtId="3" xfId="139" applyNumberFormat="1" applyFont="1" applyFill="1" applyBorder="1" applyAlignment="1">
      <alignment horizontal="center"/>
    </xf>
    <xf fontId="33" fillId="0" borderId="34" numFmtId="0" xfId="139" applyFont="1" applyBorder="1"/>
    <xf fontId="33" fillId="0" borderId="0" numFmtId="3" xfId="139" applyNumberFormat="1" applyFont="1"/>
    <xf fontId="35" fillId="0" borderId="26" numFmtId="0" xfId="139" applyFont="1" applyBorder="1" applyAlignment="1">
      <alignment horizontal="left" vertical="top" wrapText="1"/>
    </xf>
    <xf fontId="35" fillId="0" borderId="27" numFmtId="49" xfId="139" applyNumberFormat="1" applyFont="1" applyBorder="1" applyAlignment="1">
      <alignment horizontal="left" vertical="top" wrapText="1"/>
    </xf>
    <xf fontId="35" fillId="0" borderId="27" numFmtId="0" xfId="139" applyFont="1" applyBorder="1" applyAlignment="1">
      <alignment horizontal="left" vertical="top" wrapText="1"/>
    </xf>
    <xf fontId="37" fillId="26" borderId="27" numFmtId="0" xfId="0" applyFont="1" applyFill="1" applyBorder="1" applyAlignment="1" applyProtection="1">
      <alignment horizontal="left" vertical="center" wrapText="1"/>
      <protection locked="0"/>
    </xf>
    <xf fontId="38" fillId="26" borderId="27" numFmtId="3" xfId="139" applyNumberFormat="1" applyFont="1" applyFill="1" applyBorder="1" applyAlignment="1">
      <alignment horizontal="center" vertical="center"/>
    </xf>
    <xf fontId="12" fillId="26" borderId="28" numFmtId="0" xfId="139" applyFont="1" applyFill="1" applyBorder="1"/>
    <xf fontId="35" fillId="0" borderId="21" numFmtId="0" xfId="139" applyFont="1" applyBorder="1" applyAlignment="1">
      <alignment horizontal="left" vertical="top" wrapText="1"/>
    </xf>
    <xf fontId="35" fillId="0" borderId="9" numFmtId="49" xfId="139" applyNumberFormat="1" applyFont="1" applyBorder="1" applyAlignment="1">
      <alignment horizontal="left" vertical="top" wrapText="1"/>
    </xf>
    <xf fontId="35" fillId="0" borderId="9" numFmtId="0" xfId="139" applyFont="1" applyBorder="1" applyAlignment="1">
      <alignment horizontal="left" vertical="top" wrapText="1"/>
    </xf>
    <xf fontId="12" fillId="0" borderId="30" numFmtId="49" xfId="173" applyNumberFormat="1" applyFont="1" applyBorder="1" applyAlignment="1" applyProtection="1">
      <alignment vertical="center" wrapText="1"/>
      <protection locked="0"/>
    </xf>
    <xf fontId="12" fillId="0" borderId="30" numFmtId="49" xfId="173" applyNumberFormat="1" applyFont="1" applyBorder="1" applyAlignment="1" applyProtection="1">
      <alignment horizontal="left" vertical="center" wrapText="1"/>
      <protection locked="0"/>
    </xf>
    <xf fontId="12" fillId="0" borderId="9" numFmtId="3" xfId="139" applyNumberFormat="1" applyFont="1" applyBorder="1" applyAlignment="1">
      <alignment horizontal="center" vertical="center"/>
    </xf>
    <xf fontId="12" fillId="0" borderId="22" numFmtId="0" xfId="139" applyFont="1" applyBorder="1" applyAlignment="1">
      <alignment vertical="center"/>
    </xf>
    <xf fontId="12" fillId="0" borderId="9" numFmtId="49" xfId="173" applyNumberFormat="1" applyFont="1" applyBorder="1" applyAlignment="1" applyProtection="1">
      <alignment vertical="center" wrapText="1"/>
      <protection locked="0"/>
    </xf>
    <xf fontId="12" fillId="0" borderId="9" numFmtId="49" xfId="173" applyNumberFormat="1" applyFont="1" applyBorder="1" applyAlignment="1" applyProtection="1">
      <alignment horizontal="left" vertical="center" wrapText="1"/>
      <protection locked="0"/>
    </xf>
    <xf fontId="12" fillId="0" borderId="27" numFmtId="49" xfId="173" applyNumberFormat="1" applyFont="1" applyBorder="1" applyAlignment="1" applyProtection="1">
      <alignment vertical="center" wrapText="1"/>
      <protection locked="0"/>
    </xf>
    <xf fontId="12" fillId="0" borderId="27" numFmtId="49" xfId="173" applyNumberFormat="1" applyFont="1" applyBorder="1" applyAlignment="1" applyProtection="1">
      <alignment horizontal="left" vertical="center" wrapText="1"/>
      <protection locked="0"/>
    </xf>
    <xf fontId="12" fillId="0" borderId="22" numFmtId="0" xfId="139" applyFont="1" applyBorder="1" applyAlignment="1">
      <alignment vertical="center" wrapText="1"/>
    </xf>
    <xf fontId="12" fillId="0" borderId="35" numFmtId="49" xfId="173" applyNumberFormat="1" applyFont="1" applyBorder="1" applyAlignment="1" applyProtection="1">
      <alignment vertical="center" wrapText="1"/>
      <protection locked="0"/>
    </xf>
    <xf fontId="12" fillId="0" borderId="9" numFmtId="0" xfId="139" applyFont="1" applyBorder="1" applyAlignment="1">
      <alignment vertical="center"/>
    </xf>
    <xf fontId="12" fillId="0" borderId="30" numFmtId="3" xfId="139" applyNumberFormat="1" applyFont="1" applyBorder="1" applyAlignment="1">
      <alignment horizontal="center" vertical="center"/>
    </xf>
    <xf fontId="12" fillId="0" borderId="30" numFmtId="49" xfId="173" applyNumberFormat="1" applyFont="1" applyBorder="1" applyAlignment="1" applyProtection="1">
      <alignment horizontal="center" vertical="center" wrapText="1"/>
      <protection locked="0"/>
    </xf>
    <xf fontId="12" fillId="0" borderId="27" numFmtId="49" xfId="173" applyNumberFormat="1" applyFont="1" applyBorder="1" applyAlignment="1" applyProtection="1">
      <alignment horizontal="center" vertical="center" wrapText="1"/>
      <protection locked="0"/>
    </xf>
    <xf fontId="37" fillId="26" borderId="27" numFmtId="0" xfId="0" applyFont="1" applyFill="1" applyBorder="1" applyAlignment="1" applyProtection="1">
      <alignment vertical="center" wrapText="1"/>
      <protection locked="0"/>
    </xf>
    <xf fontId="12" fillId="26" borderId="28" numFmtId="0" xfId="139" applyFont="1" applyFill="1" applyBorder="1" applyAlignment="1">
      <alignment wrapText="1"/>
    </xf>
    <xf fontId="35" fillId="0" borderId="26" numFmtId="0" xfId="139" applyFont="1" applyBorder="1" applyAlignment="1">
      <alignment horizontal="center" vertical="top" wrapText="1"/>
    </xf>
    <xf fontId="35" fillId="0" borderId="27" numFmtId="49" xfId="139" applyNumberFormat="1" applyFont="1" applyBorder="1" applyAlignment="1">
      <alignment horizontal="center" vertical="top" wrapText="1"/>
    </xf>
    <xf fontId="35" fillId="0" borderId="27" numFmtId="0" xfId="139" applyFont="1" applyBorder="1" applyAlignment="1">
      <alignment horizontal="center" vertical="top" wrapText="1"/>
    </xf>
    <xf fontId="38" fillId="26" borderId="27" numFmtId="3" xfId="139" applyNumberFormat="1" applyFont="1" applyFill="1" applyBorder="1" applyAlignment="1">
      <alignment horizontal="center"/>
    </xf>
    <xf fontId="12" fillId="26" borderId="28" numFmtId="0" xfId="139" applyFont="1" applyFill="1" applyBorder="1" applyAlignment="1">
      <alignment vertical="center"/>
    </xf>
    <xf fontId="35" fillId="0" borderId="21" numFmtId="0" xfId="139" applyFont="1" applyBorder="1" applyAlignment="1">
      <alignment horizontal="center" vertical="top" wrapText="1"/>
    </xf>
    <xf fontId="35" fillId="0" borderId="9" numFmtId="0" xfId="139" applyFont="1" applyBorder="1" applyAlignment="1">
      <alignment horizontal="center" vertical="top" wrapText="1"/>
    </xf>
    <xf fontId="39" fillId="0" borderId="9" numFmtId="0" xfId="0" applyFont="1" applyBorder="1" applyAlignment="1" applyProtection="1">
      <alignment vertical="center" wrapText="1"/>
      <protection locked="0"/>
    </xf>
    <xf fontId="39" fillId="0" borderId="9" numFmtId="0" xfId="0" applyFont="1" applyBorder="1" applyAlignment="1" applyProtection="1">
      <alignment horizontal="left" vertical="center" wrapText="1"/>
      <protection locked="0"/>
    </xf>
    <xf fontId="12" fillId="0" borderId="0" numFmtId="2" xfId="139" applyNumberFormat="1" applyFont="1"/>
    <xf fontId="39" fillId="0" borderId="30" numFmtId="0" xfId="0" applyFont="1" applyBorder="1" applyAlignment="1" applyProtection="1">
      <alignment vertical="center" wrapText="1"/>
      <protection locked="0"/>
    </xf>
    <xf fontId="39" fillId="0" borderId="30" numFmtId="0" xfId="0" applyFont="1" applyBorder="1" applyAlignment="1" applyProtection="1">
      <alignment horizontal="left" vertical="center" wrapText="1"/>
      <protection locked="0"/>
    </xf>
    <xf fontId="39" fillId="0" borderId="30" numFmtId="0" xfId="0" applyFont="1" applyBorder="1" applyAlignment="1" applyProtection="1">
      <alignment horizontal="center" vertical="center" wrapText="1"/>
      <protection locked="0"/>
    </xf>
    <xf fontId="39" fillId="0" borderId="27" numFmtId="0" xfId="0" applyFont="1" applyBorder="1" applyAlignment="1" applyProtection="1">
      <alignment horizontal="left" vertical="center" wrapText="1"/>
      <protection locked="0"/>
    </xf>
    <xf fontId="39" fillId="0" borderId="27" numFmtId="0" xfId="0" applyFont="1" applyBorder="1" applyAlignment="1" applyProtection="1">
      <alignment horizontal="center" vertical="center" wrapText="1"/>
      <protection locked="0"/>
    </xf>
    <xf fontId="35" fillId="25" borderId="36" numFmtId="0" xfId="168" applyFont="1" applyFill="1" applyBorder="1" applyAlignment="1">
      <alignment horizontal="left" wrapText="1"/>
    </xf>
    <xf fontId="35" fillId="0" borderId="15" numFmtId="0" xfId="139" applyFont="1" applyBorder="1" applyAlignment="1">
      <alignment horizontal="center" vertical="top" wrapText="1"/>
    </xf>
    <xf fontId="35" fillId="0" borderId="16" numFmtId="49" xfId="139" applyNumberFormat="1" applyFont="1" applyBorder="1" applyAlignment="1">
      <alignment horizontal="center" vertical="top" wrapText="1"/>
    </xf>
    <xf fontId="35" fillId="0" borderId="16" numFmtId="0" xfId="139" applyFont="1" applyBorder="1" applyAlignment="1">
      <alignment horizontal="center" vertical="top" wrapText="1"/>
    </xf>
    <xf fontId="35" fillId="0" borderId="37" numFmtId="0" xfId="139" applyFont="1" applyBorder="1" applyAlignment="1">
      <alignment horizontal="center" vertical="top" wrapText="1"/>
    </xf>
    <xf fontId="35" fillId="0" borderId="35" numFmtId="49" xfId="139" applyNumberFormat="1" applyFont="1" applyBorder="1" applyAlignment="1">
      <alignment horizontal="center" vertical="top" wrapText="1"/>
    </xf>
    <xf fontId="35" fillId="0" borderId="35" numFmtId="0" xfId="139" applyFont="1" applyBorder="1" applyAlignment="1">
      <alignment horizontal="center" vertical="top" wrapText="1"/>
    </xf>
    <xf fontId="12" fillId="0" borderId="22" numFmtId="0" xfId="139" applyFont="1" applyBorder="1"/>
    <xf fontId="12" fillId="0" borderId="27" numFmtId="3" xfId="139" applyNumberFormat="1" applyFont="1" applyBorder="1" applyAlignment="1">
      <alignment horizontal="center" vertical="center"/>
    </xf>
    <xf fontId="12" fillId="0" borderId="28" numFmtId="0" xfId="139" applyFont="1" applyBorder="1"/>
    <xf fontId="33" fillId="0" borderId="9" numFmtId="3" xfId="139" applyNumberFormat="1" applyFont="1" applyBorder="1" applyAlignment="1">
      <alignment horizontal="center" vertical="center"/>
    </xf>
    <xf fontId="33" fillId="0" borderId="22" numFmtId="0" xfId="139" applyFont="1" applyBorder="1"/>
    <xf fontId="39" fillId="0" borderId="35" numFmtId="0" xfId="0" applyFont="1" applyBorder="1" applyAlignment="1" applyProtection="1">
      <alignment horizontal="left" vertical="center" wrapText="1"/>
      <protection locked="0"/>
    </xf>
    <xf fontId="39" fillId="0" borderId="9" numFmtId="0" xfId="0" applyFont="1" applyBorder="1" applyAlignment="1" applyProtection="1">
      <alignment horizontal="center" vertical="center" wrapText="1"/>
      <protection locked="0"/>
    </xf>
    <xf fontId="39" fillId="0" borderId="27" numFmtId="0" xfId="0" applyFont="1" applyBorder="1" applyAlignment="1" applyProtection="1">
      <alignment vertical="center" wrapText="1"/>
      <protection locked="0"/>
    </xf>
    <xf fontId="33" fillId="0" borderId="22" numFmtId="0" xfId="139" applyFont="1" applyBorder="1" applyAlignment="1">
      <alignment wrapText="1"/>
    </xf>
    <xf fontId="35" fillId="0" borderId="38" numFmtId="0" xfId="139" applyFont="1" applyBorder="1" applyAlignment="1">
      <alignment horizontal="center" vertical="top" wrapText="1"/>
    </xf>
    <xf fontId="35" fillId="0" borderId="36" numFmtId="49" xfId="139" applyNumberFormat="1" applyFont="1" applyBorder="1" applyAlignment="1">
      <alignment horizontal="center" vertical="top" wrapText="1"/>
    </xf>
    <xf fontId="35" fillId="0" borderId="36" numFmtId="0" xfId="139" applyFont="1" applyBorder="1" applyAlignment="1">
      <alignment horizontal="center" vertical="top" wrapText="1"/>
    </xf>
    <xf fontId="33" fillId="25" borderId="34" numFmtId="0" xfId="139" applyFont="1" applyFill="1" applyBorder="1"/>
    <xf fontId="35" fillId="0" borderId="27" numFmtId="14" xfId="139" applyNumberFormat="1" applyFont="1" applyBorder="1" applyAlignment="1">
      <alignment horizontal="left" vertical="top" wrapText="1"/>
    </xf>
    <xf fontId="37" fillId="27" borderId="27" numFmtId="0" xfId="0" applyFont="1" applyFill="1" applyBorder="1" applyAlignment="1" applyProtection="1">
      <alignment horizontal="left" vertical="center" wrapText="1"/>
      <protection locked="0"/>
    </xf>
    <xf fontId="38" fillId="27" borderId="27" numFmtId="3" xfId="139" applyNumberFormat="1" applyFont="1" applyFill="1" applyBorder="1" applyAlignment="1">
      <alignment horizontal="center"/>
    </xf>
    <xf fontId="12" fillId="27" borderId="28" numFmtId="0" xfId="139" applyFont="1" applyFill="1" applyBorder="1"/>
    <xf fontId="12" fillId="0" borderId="9" numFmtId="3" xfId="139" applyNumberFormat="1" applyFont="1" applyBorder="1" applyAlignment="1">
      <alignment horizontal="center"/>
    </xf>
    <xf fontId="39" fillId="28" borderId="27" numFmtId="0" xfId="0" applyFont="1" applyFill="1" applyBorder="1" applyAlignment="1" applyProtection="1">
      <alignment horizontal="center" vertical="center" wrapText="1"/>
      <protection locked="0"/>
    </xf>
    <xf fontId="39" fillId="0" borderId="35" numFmtId="0" xfId="0" applyFont="1" applyBorder="1" applyAlignment="1" applyProtection="1">
      <alignment horizontal="center" vertical="center" wrapText="1"/>
      <protection locked="0"/>
    </xf>
    <xf fontId="12" fillId="0" borderId="30" numFmtId="3" xfId="139" applyNumberFormat="1" applyFont="1" applyBorder="1" applyAlignment="1">
      <alignment horizontal="center"/>
    </xf>
    <xf fontId="12" fillId="0" borderId="31" numFmtId="0" xfId="139" applyFont="1" applyBorder="1" applyAlignment="1">
      <alignment vertical="center"/>
    </xf>
    <xf fontId="12" fillId="0" borderId="31" numFmtId="0" xfId="139" applyFont="1" applyBorder="1" applyAlignment="1">
      <alignment vertical="center" wrapText="1"/>
    </xf>
    <xf fontId="40" fillId="0" borderId="39" numFmtId="0" xfId="139" applyFont="1" applyBorder="1" applyAlignment="1">
      <alignment horizontal="center" vertical="center" wrapText="1"/>
    </xf>
    <xf fontId="40" fillId="0" borderId="40" numFmtId="0" xfId="139" applyFont="1" applyBorder="1" applyAlignment="1">
      <alignment horizontal="center" vertical="center" wrapText="1"/>
    </xf>
    <xf fontId="40" fillId="0" borderId="41" numFmtId="0" xfId="139" applyFont="1" applyBorder="1" applyAlignment="1">
      <alignment horizontal="center" vertical="center" wrapText="1"/>
    </xf>
    <xf fontId="41" fillId="25" borderId="9" numFmtId="0" xfId="0" applyFont="1" applyFill="1" applyBorder="1" applyAlignment="1" applyProtection="1">
      <alignment horizontal="left" vertical="center" wrapText="1"/>
      <protection locked="0"/>
    </xf>
    <xf fontId="42" fillId="25" borderId="9" numFmtId="3" xfId="139" applyNumberFormat="1" applyFont="1" applyFill="1" applyBorder="1" applyAlignment="1">
      <alignment horizontal="center"/>
    </xf>
    <xf fontId="42" fillId="25" borderId="9" numFmtId="0" xfId="139" applyFont="1" applyFill="1" applyBorder="1" applyAlignment="1">
      <alignment horizontal="left" vertical="center" wrapText="1"/>
    </xf>
    <xf fontId="40" fillId="0" borderId="42" numFmtId="0" xfId="139" applyFont="1" applyBorder="1" applyAlignment="1">
      <alignment horizontal="center" vertical="center" wrapText="1"/>
    </xf>
    <xf fontId="40" fillId="0" borderId="0" numFmtId="0" xfId="139" applyFont="1" applyAlignment="1">
      <alignment horizontal="center" vertical="center" wrapText="1"/>
    </xf>
    <xf fontId="40" fillId="0" borderId="12" numFmtId="0" xfId="139" applyFont="1" applyBorder="1" applyAlignment="1">
      <alignment horizontal="center" vertical="center" wrapText="1"/>
    </xf>
    <xf fontId="42" fillId="25" borderId="9" numFmtId="3" xfId="139" applyNumberFormat="1" applyFont="1" applyFill="1" applyBorder="1" applyAlignment="1">
      <alignment horizontal="left" vertical="center" wrapText="1"/>
    </xf>
    <xf fontId="40" fillId="0" borderId="43" numFmtId="0" xfId="139" applyFont="1" applyBorder="1" applyAlignment="1">
      <alignment horizontal="center" vertical="center" wrapText="1"/>
    </xf>
    <xf fontId="40" fillId="0" borderId="44" numFmtId="0" xfId="139" applyFont="1" applyBorder="1" applyAlignment="1">
      <alignment horizontal="center" vertical="center" wrapText="1"/>
    </xf>
    <xf fontId="40" fillId="0" borderId="45" numFmtId="0" xfId="139" applyFont="1" applyBorder="1" applyAlignment="1">
      <alignment horizontal="center" vertical="center" wrapText="1"/>
    </xf>
    <xf fontId="42" fillId="0" borderId="0" numFmtId="0" xfId="139" applyFont="1" applyAlignment="1">
      <alignment horizontal="center"/>
    </xf>
    <xf fontId="42" fillId="0" borderId="0" numFmtId="0" xfId="139" applyFont="1"/>
  </cellXfs>
  <cellStyles count="207">
    <cellStyle name="_9 мес ДЭ ПФП ДПН на 2006г с разбивкой по кварталам от 28.02.06г" xfId="1"/>
    <cellStyle name="_Copy of ДРСК_1" xfId="2"/>
    <cellStyle name="_Ltre01Лесозав." xfId="3"/>
    <cellStyle name="_Macros_Borya" xfId="4"/>
    <cellStyle name="_авансы" xfId="5"/>
    <cellStyle name="_АРМ_БП_АО Сахэнерго 1" xfId="6"/>
    <cellStyle name="_АРМ_БП_АО Сахэнерго и ТЭП на 2006 г" xfId="7"/>
    <cellStyle name="_АРМ_БП_АО Сахэнерго под факт2004 г." xfId="8"/>
    <cellStyle name="_АРМ_БП_АО Сахэнерго утвержденный  Кср лик див" xfId="9"/>
    <cellStyle name="_АРМ_БП_АО-энерго_V41_обработан_06.05.2005" xfId="10"/>
    <cellStyle name="_Баланс  прогнозный 2 квартал" xfId="11"/>
    <cellStyle name="_Баланс 2005г прогнозный 2 квартал" xfId="12"/>
    <cellStyle name="_Дж.н. 10 мес. факт 2006 ожид ДФ" xfId="13"/>
    <cellStyle name="_ИП 17032006" xfId="14"/>
    <cellStyle name="_ИП СО 2006-2010 отпр 22 01 07" xfId="15"/>
    <cellStyle name="_Книга1" xfId="16"/>
    <cellStyle name="_Книга3" xfId="17"/>
    <cellStyle name="_Книга4" xfId="18"/>
    <cellStyle name="_Копия Прил 2(Показатели ИП)" xfId="19"/>
    <cellStyle name="_Корректировка инвестиц. программы по итогам 4 месяцев (2)" xfId="20"/>
    <cellStyle name="_Прил1-1 (МГИ) (Дубинину) 22 01 07" xfId="21"/>
    <cellStyle name="_Приложение 1 - ИПР 2010-2012 гг." xfId="22"/>
    <cellStyle name="_Приложение 1 - Формат инвестиционной программы 2010-2012 гг." xfId="23"/>
    <cellStyle name="_Приложение 1 - ЮЯ 2010-2012 гг." xfId="24"/>
    <cellStyle name="_Приложение 1 -инвестиционной программы 2010-2012 гг." xfId="25"/>
    <cellStyle name="_Приложение 1,2" xfId="26"/>
    <cellStyle name="_Приложение 7" xfId="27"/>
    <cellStyle name="_Приложение 7 доход расход слайды2 (1)" xfId="28"/>
    <cellStyle name="_Приложение 7 доход слайд" xfId="29"/>
    <cellStyle name="_Приложения по инвестициям на 2006г" xfId="30"/>
    <cellStyle name="_Приложения по инвестициям на 2006г корректировка" xfId="31"/>
    <cellStyle name="_Приложения по инвестициям на 2006г корректировка 08.09" xfId="32"/>
    <cellStyle name="_Приложения по инвестициям на 2006годминим" xfId="33"/>
    <cellStyle name="_Приложения по инвестициям на 2006годминим новая" xfId="34"/>
    <cellStyle name="_Программа СО 7-09 для СД от 29 марта" xfId="35"/>
    <cellStyle name="_птс- БП-2006 ОАО,СКК- 01.09.05" xfId="36"/>
    <cellStyle name="_ПФП_1_4кв._2006г" xfId="37"/>
    <cellStyle name="_ПФР 2005г" xfId="38"/>
    <cellStyle name="_Расшифровка по приоритетам_МРСК 2" xfId="39"/>
    <cellStyle name="_Ремонт 2006" xfId="40"/>
    <cellStyle name="_с фактом" xfId="41"/>
    <cellStyle name="_с фактом (1)" xfId="42"/>
    <cellStyle name="_СО 2006-2010  Прил1-1 (Дубинину)" xfId="43"/>
    <cellStyle name="_Сравнение Бюджета с РЭКом_16.11" xfId="44"/>
    <cellStyle name="_Сравнения от 09.05.06 г. поквартальные листы" xfId="45"/>
    <cellStyle name="_Табл П2-5 (вар18-10-2006)" xfId="46"/>
    <cellStyle name="_ТЭП" xfId="47"/>
    <cellStyle name="_Тэп ОАО Сахалинэнерго на 2006 года для совещания у Мясника" xfId="48"/>
    <cellStyle name="_ТЭП, баланс, ремонтная программа, инвестиции, ПУИ, расчет дивидендов" xfId="49"/>
    <cellStyle name="_форма_10_1" xfId="50"/>
    <cellStyle name="_форма_11_1" xfId="51"/>
    <cellStyle name="_форма_3_1" xfId="52"/>
    <cellStyle name="_форма_4_1" xfId="53"/>
    <cellStyle name="_форма_5_1" xfId="54"/>
    <cellStyle name="_Формы для ФАО за 9 мес.2006 г." xfId="55"/>
    <cellStyle name="_формы к 23.11.06 испр кредиты" xfId="56"/>
    <cellStyle name="_экслуатационные Сахэнерго 2005 корректировка" xfId="57"/>
    <cellStyle name="_Эксплуатационные для Е.Т. вредной но симпотишной" xfId="58"/>
    <cellStyle name="”€ќђќ‘ћ‚›‰" xfId="59"/>
    <cellStyle name="”€љ‘€ђћ‚ђќќ›‰" xfId="60"/>
    <cellStyle name="”ќђќ‘ћ‚›‰" xfId="61"/>
    <cellStyle name="”љ‘ђћ‚ђќќ›‰" xfId="62"/>
    <cellStyle name="„…ќ…†ќ›‰" xfId="63"/>
    <cellStyle name="„ђ’ђ" xfId="64"/>
    <cellStyle name="€’ћѓћ‚›‰" xfId="65"/>
    <cellStyle name="‡ђѓћ‹ћ‚ћљ1" xfId="66"/>
    <cellStyle name="‡ђѓћ‹ћ‚ћљ2" xfId="67"/>
    <cellStyle name="’ћѓћ‚›‰" xfId="68"/>
    <cellStyle name="1Normal" xfId="69"/>
    <cellStyle name="20% - Акцент1 2" xfId="70"/>
    <cellStyle name="20% - Акцент1 3" xfId="71"/>
    <cellStyle name="20% - Акцент2 2" xfId="72"/>
    <cellStyle name="20% - Акцент2 3" xfId="73"/>
    <cellStyle name="20% - Акцент3 2" xfId="74"/>
    <cellStyle name="20% - Акцент3 3" xfId="75"/>
    <cellStyle name="20% - Акцент4 2" xfId="76"/>
    <cellStyle name="20% - Акцент4 3" xfId="77"/>
    <cellStyle name="20% - Акцент5 2" xfId="78"/>
    <cellStyle name="20% - Акцент5 3" xfId="79"/>
    <cellStyle name="20% - Акцент6 2" xfId="80"/>
    <cellStyle name="20% - Акцент6 3" xfId="81"/>
    <cellStyle name="40% - Акцент1 2" xfId="82"/>
    <cellStyle name="40% - Акцент1 3" xfId="83"/>
    <cellStyle name="40% - Акцент2 2" xfId="84"/>
    <cellStyle name="40% - Акцент2 3" xfId="85"/>
    <cellStyle name="40% - Акцент3 2" xfId="86"/>
    <cellStyle name="40% - Акцент3 3" xfId="87"/>
    <cellStyle name="40% - Акцент4 2" xfId="88"/>
    <cellStyle name="40% - Акцент4 3" xfId="89"/>
    <cellStyle name="40% - Акцент5 2" xfId="90"/>
    <cellStyle name="40% - Акцент5 3" xfId="91"/>
    <cellStyle name="40% - Акцент6 2" xfId="92"/>
    <cellStyle name="40% - Акцент6 3" xfId="93"/>
    <cellStyle name="60% - Акцент1 2" xfId="94"/>
    <cellStyle name="60% - Акцент2 2" xfId="95"/>
    <cellStyle name="60% - Акцент3 2" xfId="96"/>
    <cellStyle name="60% - Акцент4 2" xfId="97"/>
    <cellStyle name="60% - Акцент5 2" xfId="98"/>
    <cellStyle name="60% - Акцент6 2" xfId="99"/>
    <cellStyle name="F2" xfId="100"/>
    <cellStyle name="F3" xfId="101"/>
    <cellStyle name="F4" xfId="102"/>
    <cellStyle name="F5" xfId="103"/>
    <cellStyle name="F6" xfId="104"/>
    <cellStyle name="F7" xfId="105"/>
    <cellStyle name="F8" xfId="106"/>
    <cellStyle name="Norma11l" xfId="107"/>
    <cellStyle name="Normal__2__Инвестпрограмма ЯЭ (2008-2013гг)кор2" xfId="108"/>
    <cellStyle name="Normal1" xfId="109"/>
    <cellStyle name="Price_Body" xfId="110"/>
    <cellStyle name="Акцент1 2" xfId="111"/>
    <cellStyle name="Акцент2 2" xfId="112"/>
    <cellStyle name="Акцент3 2" xfId="113"/>
    <cellStyle name="Акцент4 2" xfId="114"/>
    <cellStyle name="Акцент5 2" xfId="115"/>
    <cellStyle name="Акцент6 2" xfId="116"/>
    <cellStyle name="Беззащитный" xfId="117"/>
    <cellStyle name="Ввод  2" xfId="118"/>
    <cellStyle name="Вывод 2" xfId="119"/>
    <cellStyle name="Вычисление 2" xfId="120"/>
    <cellStyle name="Денежный 2" xfId="121"/>
    <cellStyle name="Заголовок 1 2" xfId="122"/>
    <cellStyle name="Заголовок 2 2" xfId="123"/>
    <cellStyle name="Заголовок 3 2" xfId="124"/>
    <cellStyle name="Заголовок 4 2" xfId="125"/>
    <cellStyle name="Защитный" xfId="126"/>
    <cellStyle name="Значение" xfId="127"/>
    <cellStyle name="Итог 2" xfId="128"/>
    <cellStyle name="Контрольная ячейка 2" xfId="129"/>
    <cellStyle name="Название 2" xfId="130"/>
    <cellStyle name="Нейтральный 2" xfId="131"/>
    <cellStyle name="Обычный" xfId="0" builtinId="0"/>
    <cellStyle name="Обычный 10" xfId="132"/>
    <cellStyle name="Обычный 12 2" xfId="133"/>
    <cellStyle name="Обычный 2" xfId="134"/>
    <cellStyle name="Обычный 2 2" xfId="135"/>
    <cellStyle name="Обычный 2 2 2" xfId="136"/>
    <cellStyle name="Обычный 2 3" xfId="137"/>
    <cellStyle name="Обычный 2_3 Выручка" xfId="138"/>
    <cellStyle name="Обычный 3" xfId="139"/>
    <cellStyle name="Обычный 3 2" xfId="140"/>
    <cellStyle name="Обычный 3 2 2 2" xfId="141"/>
    <cellStyle name="Обычный 3 3" xfId="142"/>
    <cellStyle name="Обычный 4" xfId="143"/>
    <cellStyle name="Обычный 4 2" xfId="144"/>
    <cellStyle name="Обычный 5" xfId="145"/>
    <cellStyle name="Обычный 5 2" xfId="146"/>
    <cellStyle name="Обычный 5 2 2" xfId="147"/>
    <cellStyle name="Обычный 5 2 3" xfId="148"/>
    <cellStyle name="Обычный 5 3" xfId="149"/>
    <cellStyle name="Обычный 6" xfId="150"/>
    <cellStyle name="Обычный 6 2" xfId="151"/>
    <cellStyle name="Обычный 6 2 2" xfId="152"/>
    <cellStyle name="Обычный 6 2 2 2" xfId="153"/>
    <cellStyle name="Обычный 6 2 2 2 2" xfId="154"/>
    <cellStyle name="Обычный 6 2 2 2 3" xfId="155"/>
    <cellStyle name="Обычный 6 2 2 3" xfId="156"/>
    <cellStyle name="Обычный 6 2 2 3 2" xfId="157"/>
    <cellStyle name="Обычный 6 2 2 4" xfId="158"/>
    <cellStyle name="Обычный 6 2 2 5" xfId="159"/>
    <cellStyle name="Обычный 6 2 2 6" xfId="160"/>
    <cellStyle name="Обычный 6 2 3" xfId="161"/>
    <cellStyle name="Обычный 6 2 4" xfId="162"/>
    <cellStyle name="Обычный 6 2 5" xfId="163"/>
    <cellStyle name="Обычный 6 3" xfId="164"/>
    <cellStyle name="Обычный 6 3 2" xfId="165"/>
    <cellStyle name="Обычный 6 4" xfId="166"/>
    <cellStyle name="Обычный 6 5" xfId="167"/>
    <cellStyle name="Обычный 7" xfId="168"/>
    <cellStyle name="Обычный 7 2" xfId="169"/>
    <cellStyle name="Обычный 8" xfId="170"/>
    <cellStyle name="Обычный 8 28" xfId="171"/>
    <cellStyle name="Обычный 9" xfId="172"/>
    <cellStyle name="Обычный_Инвестиции мониторинг_поставщики ОРЭ" xfId="173"/>
    <cellStyle name="Плохой 2" xfId="174"/>
    <cellStyle name="Поле ввода" xfId="175"/>
    <cellStyle name="Пояснение 2" xfId="176"/>
    <cellStyle name="Примечание 2" xfId="177"/>
    <cellStyle name="Примечание 3" xfId="178"/>
    <cellStyle name="Процентный 2" xfId="179"/>
    <cellStyle name="Процентный 3" xfId="180"/>
    <cellStyle name="Процентный 3 2" xfId="181"/>
    <cellStyle name="Процентный 4" xfId="182"/>
    <cellStyle name="Связанная ячейка 2" xfId="183"/>
    <cellStyle name="Стиль 1" xfId="184"/>
    <cellStyle name="Стиль 1 2" xfId="185"/>
    <cellStyle name="Текст предупреждения 2" xfId="186"/>
    <cellStyle name="Тысячи [0]_3Com" xfId="187"/>
    <cellStyle name="Тысячи_3Com" xfId="188"/>
    <cellStyle name="Финансовый 2" xfId="189"/>
    <cellStyle name="Финансовый 2 2" xfId="190"/>
    <cellStyle name="Финансовый 2 2 2" xfId="191"/>
    <cellStyle name="Финансовый 2 2 2 2 2" xfId="192"/>
    <cellStyle name="Финансовый 2 3" xfId="193"/>
    <cellStyle name="Финансовый 2 4" xfId="194"/>
    <cellStyle name="Финансовый 3" xfId="195"/>
    <cellStyle name="Финансовый 3 2" xfId="196"/>
    <cellStyle name="Финансовый 3 3" xfId="197"/>
    <cellStyle name="Финансовый 3 3 2" xfId="198"/>
    <cellStyle name="Финансовый 3 4" xfId="199"/>
    <cellStyle name="Финансовый 3 5" xfId="200"/>
    <cellStyle name="Финансовый 4" xfId="201"/>
    <cellStyle name="Финансовый 5" xfId="202"/>
    <cellStyle name="Финансовый 6" xfId="203"/>
    <cellStyle name="Формула" xfId="204"/>
    <cellStyle name="Хороший 2" xfId="205"/>
    <cellStyle name="Џђћ–…ќ’ќ›‰" xfId="2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1"/>
  </sheetPr>
  <sheetViews>
    <sheetView showZeros="0" view="pageBreakPreview" zoomScale="70" workbookViewId="0">
      <pane xSplit="2" ySplit="9" topLeftCell="C10" activePane="bottomRight" state="frozen"/>
      <selection activeCell="H270" activeCellId="0" sqref="H270"/>
    </sheetView>
  </sheetViews>
  <sheetFormatPr defaultColWidth="9" defaultRowHeight="15"/>
  <cols>
    <col customWidth="1" min="1" max="1" style="1" width="9"/>
    <col customWidth="1" min="2" max="2" style="1" width="36.375"/>
    <col customWidth="1" min="3" max="3" style="1" width="16.125"/>
    <col customWidth="1" min="4" max="4" style="1" width="38.25"/>
    <col customWidth="1" min="5" max="5" style="1" width="21"/>
    <col customWidth="1" min="6" max="6" style="2" width="74.75"/>
    <col customWidth="1" min="7" max="7" style="2" width="21.375"/>
    <col customWidth="1" min="8" max="8" style="3" width="36.5"/>
    <col customWidth="1" min="9" max="9" style="1" width="37.75"/>
    <col min="10" max="11" style="1" width="9"/>
    <col customWidth="1" min="12" max="12" style="1" width="34.375"/>
    <col min="13" max="14" style="1" width="9"/>
    <col customWidth="1" min="15" max="15" style="1" width="27.375"/>
    <col min="16" max="41" style="1" width="9"/>
    <col customWidth="1" min="42" max="42" style="1" width="17.375"/>
    <col min="43" max="16384" style="1" width="9"/>
  </cols>
  <sheetData>
    <row r="1" ht="17.25">
      <c r="H1" s="4"/>
    </row>
    <row r="2" ht="32.25" customHeight="1">
      <c r="B2" s="5" t="s">
        <v>0</v>
      </c>
      <c r="C2" s="5"/>
      <c r="D2" s="5"/>
      <c r="E2" s="5"/>
      <c r="F2" s="5"/>
      <c r="G2" s="5"/>
      <c r="H2" s="5"/>
      <c r="I2" s="5"/>
    </row>
    <row r="4" ht="16.5"/>
    <row r="5" ht="33" customHeight="1">
      <c r="B5" s="6" t="s">
        <v>1</v>
      </c>
      <c r="C5" s="7"/>
      <c r="D5" s="7"/>
      <c r="E5" s="7"/>
      <c r="F5" s="7"/>
      <c r="G5" s="7"/>
      <c r="H5" s="7"/>
      <c r="I5" s="8"/>
    </row>
    <row r="6" ht="17.25">
      <c r="B6" s="9" t="s">
        <v>2</v>
      </c>
      <c r="C6" s="10" t="s">
        <v>3</v>
      </c>
      <c r="D6" s="10" t="s">
        <v>4</v>
      </c>
      <c r="E6" s="10" t="s">
        <v>5</v>
      </c>
      <c r="F6" s="11" t="s">
        <v>6</v>
      </c>
      <c r="G6" s="11"/>
      <c r="H6" s="11"/>
      <c r="I6" s="12"/>
    </row>
    <row r="7" ht="17.25">
      <c r="B7" s="13"/>
      <c r="C7" s="14"/>
      <c r="D7" s="14"/>
      <c r="E7" s="14"/>
      <c r="F7" s="15" t="s">
        <v>7</v>
      </c>
      <c r="G7" s="15"/>
      <c r="H7" s="16" t="s">
        <v>8</v>
      </c>
      <c r="I7" s="17" t="s">
        <v>9</v>
      </c>
    </row>
    <row r="8" ht="17.25">
      <c r="B8" s="13"/>
      <c r="C8" s="14"/>
      <c r="D8" s="14"/>
      <c r="E8" s="14"/>
      <c r="F8" s="15"/>
      <c r="G8" s="15"/>
      <c r="H8" s="16"/>
      <c r="I8" s="17"/>
    </row>
    <row r="9" ht="186.75" customHeight="1">
      <c r="B9" s="18"/>
      <c r="C9" s="19"/>
      <c r="D9" s="19"/>
      <c r="E9" s="19"/>
      <c r="F9" s="20"/>
      <c r="G9" s="20"/>
      <c r="H9" s="21"/>
      <c r="I9" s="22"/>
      <c r="O9" s="23"/>
    </row>
    <row r="10" ht="17.25">
      <c r="B10" s="24">
        <v>1</v>
      </c>
      <c r="C10" s="25">
        <v>2</v>
      </c>
      <c r="D10" s="25">
        <v>3</v>
      </c>
      <c r="E10" s="25">
        <v>4</v>
      </c>
      <c r="F10" s="26">
        <v>5</v>
      </c>
      <c r="G10" s="26"/>
      <c r="H10" s="27">
        <v>6</v>
      </c>
      <c r="I10" s="28">
        <v>7</v>
      </c>
    </row>
    <row r="11" ht="19.5">
      <c r="B11" s="29"/>
      <c r="C11" s="30"/>
      <c r="D11" s="30"/>
      <c r="E11" s="30"/>
      <c r="F11" s="31" t="s">
        <v>10</v>
      </c>
      <c r="G11" s="31"/>
      <c r="H11" s="32">
        <f>H12+H155+H194+H235</f>
        <v>12020948.024007864</v>
      </c>
      <c r="I11" s="33" t="s">
        <v>11</v>
      </c>
      <c r="L11" s="34"/>
      <c r="O11" s="34"/>
    </row>
    <row r="12" s="35" customFormat="1" ht="17.25">
      <c r="B12" s="36"/>
      <c r="C12" s="37"/>
      <c r="D12" s="37"/>
      <c r="E12" s="37"/>
      <c r="F12" s="38" t="s">
        <v>12</v>
      </c>
      <c r="G12" s="38"/>
      <c r="H12" s="39">
        <f>H13+H28+H64+H82+H106+H128+H143</f>
        <v>9953791.8562482484</v>
      </c>
      <c r="I12" s="40"/>
      <c r="O12" s="41"/>
    </row>
    <row r="13" ht="17.25">
      <c r="B13" s="42" t="s">
        <v>13</v>
      </c>
      <c r="C13" s="43" t="s">
        <v>14</v>
      </c>
      <c r="D13" s="44" t="s">
        <v>15</v>
      </c>
      <c r="E13" s="43" t="s">
        <v>16</v>
      </c>
      <c r="F13" s="45" t="s">
        <v>17</v>
      </c>
      <c r="G13" s="45"/>
      <c r="H13" s="46">
        <f>SUM(H14:H27)</f>
        <v>226472.75688700003</v>
      </c>
      <c r="I13" s="47"/>
    </row>
    <row r="14" ht="30">
      <c r="B14" s="48"/>
      <c r="C14" s="49"/>
      <c r="D14" s="50"/>
      <c r="E14" s="49"/>
      <c r="F14" s="51" t="s">
        <v>18</v>
      </c>
      <c r="G14" s="52" t="s">
        <v>19</v>
      </c>
      <c r="H14" s="53">
        <v>29524.033183000003</v>
      </c>
      <c r="I14" s="54" t="s">
        <v>20</v>
      </c>
    </row>
    <row r="15" ht="30">
      <c r="B15" s="48"/>
      <c r="C15" s="49"/>
      <c r="D15" s="50"/>
      <c r="E15" s="49"/>
      <c r="F15" s="55" t="s">
        <v>21</v>
      </c>
      <c r="G15" s="56" t="s">
        <v>22</v>
      </c>
      <c r="H15" s="53">
        <f>4310.30224*0.8</f>
        <v>3448.2417920000003</v>
      </c>
      <c r="I15" s="54" t="s">
        <v>23</v>
      </c>
    </row>
    <row r="16" ht="30">
      <c r="B16" s="48"/>
      <c r="C16" s="49"/>
      <c r="D16" s="50"/>
      <c r="E16" s="49"/>
      <c r="F16" s="55" t="s">
        <v>24</v>
      </c>
      <c r="G16" s="56" t="s">
        <v>25</v>
      </c>
      <c r="H16" s="53">
        <f>2546.3136*0.8</f>
        <v>2037.05088</v>
      </c>
      <c r="I16" s="54" t="s">
        <v>26</v>
      </c>
    </row>
    <row r="17" ht="30">
      <c r="B17" s="48"/>
      <c r="C17" s="49"/>
      <c r="D17" s="50"/>
      <c r="E17" s="49"/>
      <c r="F17" s="55" t="s">
        <v>27</v>
      </c>
      <c r="G17" s="56" t="s">
        <v>28</v>
      </c>
      <c r="H17" s="53">
        <v>888.82086333333336</v>
      </c>
      <c r="I17" s="54" t="s">
        <v>20</v>
      </c>
    </row>
    <row r="18" ht="45">
      <c r="B18" s="48"/>
      <c r="C18" s="49"/>
      <c r="D18" s="50"/>
      <c r="E18" s="49"/>
      <c r="F18" s="57" t="s">
        <v>29</v>
      </c>
      <c r="G18" s="58" t="s">
        <v>30</v>
      </c>
      <c r="H18" s="53">
        <v>294.60719000000006</v>
      </c>
      <c r="I18" s="54" t="s">
        <v>20</v>
      </c>
    </row>
    <row r="19" ht="30">
      <c r="B19" s="48"/>
      <c r="C19" s="49"/>
      <c r="D19" s="50"/>
      <c r="E19" s="49"/>
      <c r="F19" s="57" t="s">
        <v>31</v>
      </c>
      <c r="G19" s="58" t="s">
        <v>32</v>
      </c>
      <c r="H19" s="53">
        <v>13269.70335133337</v>
      </c>
      <c r="I19" s="54" t="s">
        <v>20</v>
      </c>
    </row>
    <row r="20" ht="66.75" customHeight="1">
      <c r="B20" s="48"/>
      <c r="C20" s="49"/>
      <c r="D20" s="50"/>
      <c r="E20" s="49"/>
      <c r="F20" s="57" t="s">
        <v>33</v>
      </c>
      <c r="G20" s="58" t="s">
        <v>34</v>
      </c>
      <c r="H20" s="53">
        <v>2126.7723740000001</v>
      </c>
      <c r="I20" s="54" t="s">
        <v>20</v>
      </c>
    </row>
    <row r="21" ht="66.75" customHeight="1">
      <c r="B21" s="48"/>
      <c r="C21" s="49"/>
      <c r="D21" s="50"/>
      <c r="E21" s="49"/>
      <c r="F21" s="57" t="s">
        <v>35</v>
      </c>
      <c r="G21" s="58" t="s">
        <v>36</v>
      </c>
      <c r="H21" s="53">
        <v>9421.1226199999983</v>
      </c>
      <c r="I21" s="54" t="s">
        <v>20</v>
      </c>
    </row>
    <row r="22" ht="66.75" customHeight="1">
      <c r="B22" s="48"/>
      <c r="C22" s="49"/>
      <c r="D22" s="50"/>
      <c r="E22" s="49"/>
      <c r="F22" s="57" t="s">
        <v>37</v>
      </c>
      <c r="G22" s="58" t="s">
        <v>38</v>
      </c>
      <c r="H22" s="53">
        <v>63835.387379999993</v>
      </c>
      <c r="I22" s="54" t="s">
        <v>20</v>
      </c>
    </row>
    <row r="23" ht="30">
      <c r="B23" s="48"/>
      <c r="C23" s="49"/>
      <c r="D23" s="50"/>
      <c r="E23" s="49"/>
      <c r="F23" s="57" t="s">
        <v>39</v>
      </c>
      <c r="G23" s="58" t="s">
        <v>40</v>
      </c>
      <c r="H23" s="53">
        <v>762.26666999999998</v>
      </c>
      <c r="I23" s="54" t="s">
        <v>20</v>
      </c>
    </row>
    <row r="24" ht="30">
      <c r="B24" s="48"/>
      <c r="C24" s="49"/>
      <c r="D24" s="50"/>
      <c r="E24" s="49"/>
      <c r="F24" s="57" t="s">
        <v>41</v>
      </c>
      <c r="G24" s="58" t="s">
        <v>42</v>
      </c>
      <c r="H24" s="53">
        <v>88.609705333333324</v>
      </c>
      <c r="I24" s="54" t="s">
        <v>20</v>
      </c>
    </row>
    <row r="25" ht="45">
      <c r="B25" s="48"/>
      <c r="C25" s="49"/>
      <c r="D25" s="50"/>
      <c r="E25" s="49"/>
      <c r="F25" s="57" t="s">
        <v>43</v>
      </c>
      <c r="G25" s="58" t="s">
        <v>44</v>
      </c>
      <c r="H25" s="53">
        <v>16666.666669999999</v>
      </c>
      <c r="I25" s="54" t="s">
        <v>20</v>
      </c>
    </row>
    <row r="26">
      <c r="B26" s="48"/>
      <c r="C26" s="49"/>
      <c r="D26" s="50"/>
      <c r="E26" s="49"/>
      <c r="F26" s="57" t="s">
        <v>45</v>
      </c>
      <c r="G26" s="58"/>
      <c r="H26" s="53">
        <v>81071.897399999987</v>
      </c>
      <c r="I26" s="54" t="s">
        <v>20</v>
      </c>
    </row>
    <row r="27">
      <c r="B27" s="48"/>
      <c r="C27" s="49"/>
      <c r="D27" s="50"/>
      <c r="E27" s="49"/>
      <c r="F27" s="57" t="s">
        <v>46</v>
      </c>
      <c r="G27" s="58"/>
      <c r="H27" s="53">
        <f>3796.97101*0.8</f>
        <v>3037.5768080000003</v>
      </c>
      <c r="I27" s="59" t="s">
        <v>47</v>
      </c>
    </row>
    <row r="28" ht="17.25">
      <c r="B28" s="48"/>
      <c r="C28" s="49"/>
      <c r="D28" s="50"/>
      <c r="E28" s="49"/>
      <c r="F28" s="45" t="s">
        <v>48</v>
      </c>
      <c r="G28" s="45"/>
      <c r="H28" s="46">
        <f>SUM(H29:H63)</f>
        <v>8338960.1444915459</v>
      </c>
      <c r="I28" s="47"/>
    </row>
    <row r="29" ht="31.5">
      <c r="B29" s="48"/>
      <c r="C29" s="49"/>
      <c r="D29" s="50"/>
      <c r="E29" s="49"/>
      <c r="F29" s="55" t="s">
        <v>49</v>
      </c>
      <c r="G29" s="55" t="s">
        <v>50</v>
      </c>
      <c r="H29" s="53">
        <v>1521.4231299999999</v>
      </c>
      <c r="I29" s="54" t="s">
        <v>20</v>
      </c>
    </row>
    <row r="30" ht="30">
      <c r="B30" s="48"/>
      <c r="C30" s="49"/>
      <c r="D30" s="50"/>
      <c r="E30" s="49"/>
      <c r="F30" s="55" t="s">
        <v>51</v>
      </c>
      <c r="G30" s="55" t="s">
        <v>52</v>
      </c>
      <c r="H30" s="53">
        <v>679575.30982000008</v>
      </c>
      <c r="I30" s="54" t="s">
        <v>20</v>
      </c>
    </row>
    <row r="31" ht="30">
      <c r="B31" s="48"/>
      <c r="C31" s="49"/>
      <c r="D31" s="50"/>
      <c r="E31" s="49"/>
      <c r="F31" s="55" t="s">
        <v>53</v>
      </c>
      <c r="G31" s="55" t="s">
        <v>54</v>
      </c>
      <c r="H31" s="53">
        <v>1263.2055599999999</v>
      </c>
      <c r="I31" s="54" t="s">
        <v>20</v>
      </c>
    </row>
    <row r="32" ht="23.25" customHeight="1">
      <c r="B32" s="48"/>
      <c r="C32" s="49"/>
      <c r="D32" s="50"/>
      <c r="E32" s="49"/>
      <c r="F32" s="51" t="s">
        <v>55</v>
      </c>
      <c r="G32" s="51" t="s">
        <v>56</v>
      </c>
      <c r="H32" s="53">
        <f>5730*0.85</f>
        <v>4870.5</v>
      </c>
      <c r="I32" s="54" t="s">
        <v>57</v>
      </c>
    </row>
    <row r="33" ht="23.25" customHeight="1">
      <c r="B33" s="48"/>
      <c r="C33" s="49"/>
      <c r="D33" s="50"/>
      <c r="E33" s="49"/>
      <c r="F33" s="57"/>
      <c r="G33" s="57"/>
      <c r="H33" s="53">
        <f>150000*0.85</f>
        <v>127500</v>
      </c>
      <c r="I33" s="54" t="s">
        <v>58</v>
      </c>
    </row>
    <row r="34" ht="48.75" customHeight="1">
      <c r="B34" s="48"/>
      <c r="C34" s="49"/>
      <c r="D34" s="50"/>
      <c r="E34" s="49"/>
      <c r="F34" s="55" t="s">
        <v>59</v>
      </c>
      <c r="G34" s="55" t="s">
        <v>60</v>
      </c>
      <c r="H34" s="53">
        <v>11773.063029999999</v>
      </c>
      <c r="I34" s="54" t="s">
        <v>20</v>
      </c>
    </row>
    <row r="35" ht="31.5" customHeight="1">
      <c r="B35" s="48"/>
      <c r="C35" s="49"/>
      <c r="D35" s="50"/>
      <c r="E35" s="49"/>
      <c r="F35" s="51" t="s">
        <v>61</v>
      </c>
      <c r="G35" s="51" t="s">
        <v>62</v>
      </c>
      <c r="H35" s="53">
        <f>97843.77807*0.85</f>
        <v>83167.211359499997</v>
      </c>
      <c r="I35" s="54" t="s">
        <v>26</v>
      </c>
      <c r="L35" s="34"/>
    </row>
    <row r="36" ht="27.75" customHeight="1">
      <c r="B36" s="48"/>
      <c r="C36" s="49"/>
      <c r="D36" s="50"/>
      <c r="E36" s="49"/>
      <c r="F36" s="57"/>
      <c r="G36" s="57"/>
      <c r="H36" s="53">
        <v>26248.68103</v>
      </c>
      <c r="I36" s="54" t="s">
        <v>20</v>
      </c>
      <c r="L36" s="34"/>
    </row>
    <row r="37" ht="31.5" customHeight="1">
      <c r="B37" s="48"/>
      <c r="C37" s="49"/>
      <c r="D37" s="50"/>
      <c r="E37" s="49"/>
      <c r="F37" s="51" t="s">
        <v>63</v>
      </c>
      <c r="G37" s="51" t="s">
        <v>64</v>
      </c>
      <c r="H37" s="53">
        <v>250072.78537454546</v>
      </c>
      <c r="I37" s="54" t="s">
        <v>20</v>
      </c>
    </row>
    <row r="38" ht="20.25" customHeight="1">
      <c r="B38" s="48"/>
      <c r="C38" s="49"/>
      <c r="D38" s="50"/>
      <c r="E38" s="49"/>
      <c r="F38" s="51" t="s">
        <v>65</v>
      </c>
      <c r="G38" s="51" t="s">
        <v>66</v>
      </c>
      <c r="H38" s="53">
        <v>7802.6691899999996</v>
      </c>
      <c r="I38" s="54" t="s">
        <v>20</v>
      </c>
      <c r="L38" s="34"/>
    </row>
    <row r="39" ht="18" customHeight="1">
      <c r="B39" s="48"/>
      <c r="C39" s="49"/>
      <c r="D39" s="50"/>
      <c r="E39" s="49"/>
      <c r="F39" s="60"/>
      <c r="G39" s="60"/>
      <c r="H39" s="53">
        <f>37395.49417*0.85</f>
        <v>31786.170044499999</v>
      </c>
      <c r="I39" s="54" t="s">
        <v>26</v>
      </c>
      <c r="L39" s="34"/>
    </row>
    <row r="40" ht="24" customHeight="1">
      <c r="B40" s="48"/>
      <c r="C40" s="49"/>
      <c r="D40" s="50"/>
      <c r="E40" s="49"/>
      <c r="F40" s="57"/>
      <c r="G40" s="57"/>
      <c r="H40" s="53">
        <f>3992.99*0.85</f>
        <v>3394.0414999999998</v>
      </c>
      <c r="I40" s="54" t="s">
        <v>23</v>
      </c>
      <c r="L40" s="34"/>
    </row>
    <row r="41" ht="30">
      <c r="B41" s="48"/>
      <c r="C41" s="49"/>
      <c r="D41" s="50"/>
      <c r="E41" s="49"/>
      <c r="F41" s="55" t="s">
        <v>67</v>
      </c>
      <c r="G41" s="55" t="s">
        <v>68</v>
      </c>
      <c r="H41" s="53">
        <f>950.04*0.85</f>
        <v>807.53399999999999</v>
      </c>
      <c r="I41" s="54" t="s">
        <v>26</v>
      </c>
    </row>
    <row r="42" ht="39" customHeight="1">
      <c r="B42" s="48"/>
      <c r="C42" s="49"/>
      <c r="D42" s="50"/>
      <c r="E42" s="49"/>
      <c r="F42" s="51" t="s">
        <v>69</v>
      </c>
      <c r="G42" s="51" t="s">
        <v>70</v>
      </c>
      <c r="H42" s="53">
        <f>46433.11908*0.85</f>
        <v>39468.151217999999</v>
      </c>
      <c r="I42" s="54" t="s">
        <v>26</v>
      </c>
      <c r="L42" s="34"/>
    </row>
    <row r="43" ht="40.5" customHeight="1">
      <c r="B43" s="48"/>
      <c r="C43" s="49"/>
      <c r="D43" s="50"/>
      <c r="E43" s="49"/>
      <c r="F43" s="57"/>
      <c r="G43" s="57"/>
      <c r="H43" s="53">
        <f>2881.11372*0.85</f>
        <v>2448.9466619999998</v>
      </c>
      <c r="I43" s="54" t="s">
        <v>23</v>
      </c>
      <c r="L43" s="34"/>
    </row>
    <row r="44" ht="45.75" customHeight="1">
      <c r="B44" s="48"/>
      <c r="C44" s="49"/>
      <c r="D44" s="50"/>
      <c r="E44" s="49"/>
      <c r="F44" s="55" t="s">
        <v>71</v>
      </c>
      <c r="G44" s="55" t="s">
        <v>72</v>
      </c>
      <c r="H44" s="53">
        <f>1245.8352*0.85</f>
        <v>1058.95992</v>
      </c>
      <c r="I44" s="54" t="s">
        <v>26</v>
      </c>
      <c r="L44" s="34"/>
    </row>
    <row r="45" ht="30">
      <c r="B45" s="48"/>
      <c r="C45" s="49"/>
      <c r="D45" s="50"/>
      <c r="E45" s="49"/>
      <c r="F45" s="55" t="s">
        <v>73</v>
      </c>
      <c r="G45" s="55" t="s">
        <v>74</v>
      </c>
      <c r="H45" s="53">
        <f>633.03276*0.85</f>
        <v>538.07784600000002</v>
      </c>
      <c r="I45" s="54" t="s">
        <v>26</v>
      </c>
    </row>
    <row r="46" ht="33" customHeight="1">
      <c r="B46" s="48"/>
      <c r="C46" s="49"/>
      <c r="D46" s="50"/>
      <c r="E46" s="49"/>
      <c r="F46" s="51" t="s">
        <v>75</v>
      </c>
      <c r="G46" s="51" t="s">
        <v>76</v>
      </c>
      <c r="H46" s="53">
        <v>502042.70289999997</v>
      </c>
      <c r="I46" s="61" t="s">
        <v>20</v>
      </c>
    </row>
    <row r="47" ht="32.25" customHeight="1">
      <c r="B47" s="48"/>
      <c r="C47" s="49"/>
      <c r="D47" s="50"/>
      <c r="E47" s="49"/>
      <c r="F47" s="57"/>
      <c r="G47" s="57"/>
      <c r="H47" s="53">
        <f>867080.74868*0.85</f>
        <v>737018.63637799991</v>
      </c>
      <c r="I47" s="61" t="s">
        <v>26</v>
      </c>
    </row>
    <row r="48" ht="19.5" customHeight="1">
      <c r="B48" s="48"/>
      <c r="C48" s="49"/>
      <c r="D48" s="50"/>
      <c r="E48" s="49"/>
      <c r="F48" s="51" t="s">
        <v>77</v>
      </c>
      <c r="G48" s="51" t="s">
        <v>78</v>
      </c>
      <c r="H48" s="53">
        <v>768001.43931000039</v>
      </c>
      <c r="I48" s="54" t="s">
        <v>20</v>
      </c>
    </row>
    <row r="49" ht="21.75" customHeight="1">
      <c r="B49" s="48"/>
      <c r="C49" s="49"/>
      <c r="D49" s="50"/>
      <c r="E49" s="49"/>
      <c r="F49" s="60"/>
      <c r="G49" s="60"/>
      <c r="H49" s="53">
        <f>3176509.36324*0.85</f>
        <v>2700032.9587539998</v>
      </c>
      <c r="I49" s="54" t="s">
        <v>26</v>
      </c>
    </row>
    <row r="50" ht="26.25" customHeight="1">
      <c r="B50" s="48"/>
      <c r="C50" s="49"/>
      <c r="D50" s="50"/>
      <c r="E50" s="49"/>
      <c r="F50" s="60"/>
      <c r="G50" s="60"/>
      <c r="H50" s="53">
        <f>1057606.89006*0.85</f>
        <v>898965.85655099992</v>
      </c>
      <c r="I50" s="54" t="s">
        <v>79</v>
      </c>
    </row>
    <row r="51" ht="21.75" customHeight="1">
      <c r="B51" s="48"/>
      <c r="C51" s="49"/>
      <c r="D51" s="50"/>
      <c r="E51" s="49"/>
      <c r="F51" s="60"/>
      <c r="G51" s="60"/>
      <c r="H51" s="62">
        <f>1017487.72883*0.85</f>
        <v>864864.56950550003</v>
      </c>
      <c r="I51" s="54" t="s">
        <v>23</v>
      </c>
    </row>
    <row r="52" ht="21" customHeight="1">
      <c r="B52" s="48"/>
      <c r="C52" s="49"/>
      <c r="D52" s="50"/>
      <c r="E52" s="49"/>
      <c r="F52" s="51" t="s">
        <v>80</v>
      </c>
      <c r="G52" s="51" t="s">
        <v>81</v>
      </c>
      <c r="H52" s="53">
        <v>218213.96124</v>
      </c>
      <c r="I52" s="54" t="s">
        <v>20</v>
      </c>
    </row>
    <row r="53" ht="26.25" customHeight="1">
      <c r="B53" s="48"/>
      <c r="C53" s="49"/>
      <c r="D53" s="50"/>
      <c r="E53" s="49"/>
      <c r="F53" s="57"/>
      <c r="G53" s="57"/>
      <c r="H53" s="53">
        <f>261349.38216*0.85</f>
        <v>222146.97483600001</v>
      </c>
      <c r="I53" s="54" t="s">
        <v>26</v>
      </c>
    </row>
    <row r="54" ht="26.25" customHeight="1">
      <c r="B54" s="48"/>
      <c r="C54" s="49"/>
      <c r="D54" s="50"/>
      <c r="E54" s="49"/>
      <c r="F54" s="51" t="s">
        <v>82</v>
      </c>
      <c r="G54" s="51" t="s">
        <v>83</v>
      </c>
      <c r="H54" s="53">
        <f>4890.32963*0.85</f>
        <v>4156.7801854999998</v>
      </c>
      <c r="I54" s="54" t="s">
        <v>26</v>
      </c>
    </row>
    <row r="55" ht="29.25" customHeight="1">
      <c r="B55" s="48"/>
      <c r="C55" s="49"/>
      <c r="D55" s="50"/>
      <c r="E55" s="49"/>
      <c r="F55" s="57"/>
      <c r="G55" s="57"/>
      <c r="H55" s="53">
        <f>29953.93633*0.85</f>
        <v>25460.845880500001</v>
      </c>
      <c r="I55" s="54" t="s">
        <v>23</v>
      </c>
    </row>
    <row r="56" ht="38.25" customHeight="1">
      <c r="B56" s="48"/>
      <c r="C56" s="49"/>
      <c r="D56" s="50"/>
      <c r="E56" s="49"/>
      <c r="F56" s="57" t="s">
        <v>84</v>
      </c>
      <c r="G56" s="57" t="s">
        <v>85</v>
      </c>
      <c r="H56" s="53">
        <v>20.425200000000004</v>
      </c>
      <c r="I56" s="54" t="s">
        <v>20</v>
      </c>
    </row>
    <row r="57" ht="34.5" customHeight="1">
      <c r="B57" s="48"/>
      <c r="C57" s="49"/>
      <c r="D57" s="50"/>
      <c r="E57" s="49"/>
      <c r="F57" s="57" t="s">
        <v>86</v>
      </c>
      <c r="G57" s="57" t="s">
        <v>87</v>
      </c>
      <c r="H57" s="53">
        <f>11252.14104*0.85</f>
        <v>9564.3198840000005</v>
      </c>
      <c r="I57" s="54" t="s">
        <v>26</v>
      </c>
    </row>
    <row r="58" ht="21" customHeight="1">
      <c r="B58" s="48"/>
      <c r="C58" s="49"/>
      <c r="D58" s="50"/>
      <c r="E58" s="49"/>
      <c r="F58" s="51" t="s">
        <v>88</v>
      </c>
      <c r="G58" s="51" t="s">
        <v>89</v>
      </c>
      <c r="H58" s="53">
        <v>487.5</v>
      </c>
      <c r="I58" s="54" t="s">
        <v>20</v>
      </c>
    </row>
    <row r="59" ht="33" customHeight="1">
      <c r="B59" s="48"/>
      <c r="C59" s="49"/>
      <c r="D59" s="50"/>
      <c r="E59" s="49"/>
      <c r="F59" s="57"/>
      <c r="G59" s="57"/>
      <c r="H59" s="53">
        <f>1350*0.85</f>
        <v>1147.5</v>
      </c>
      <c r="I59" s="54" t="s">
        <v>26</v>
      </c>
    </row>
    <row r="60" ht="45" customHeight="1">
      <c r="B60" s="48"/>
      <c r="C60" s="49"/>
      <c r="D60" s="50"/>
      <c r="E60" s="49"/>
      <c r="F60" s="60" t="s">
        <v>90</v>
      </c>
      <c r="G60" s="60" t="s">
        <v>91</v>
      </c>
      <c r="H60" s="53">
        <v>60592.5</v>
      </c>
      <c r="I60" s="54" t="s">
        <v>20</v>
      </c>
    </row>
    <row r="61" ht="20.25" customHeight="1">
      <c r="B61" s="48"/>
      <c r="C61" s="49"/>
      <c r="D61" s="50"/>
      <c r="E61" s="49"/>
      <c r="F61" s="51" t="s">
        <v>92</v>
      </c>
      <c r="G61" s="63"/>
      <c r="H61" s="53">
        <v>9618.810019999999</v>
      </c>
      <c r="I61" s="54" t="s">
        <v>20</v>
      </c>
    </row>
    <row r="62" ht="26.25" customHeight="1">
      <c r="B62" s="48"/>
      <c r="C62" s="49"/>
      <c r="D62" s="50"/>
      <c r="E62" s="49"/>
      <c r="F62" s="57"/>
      <c r="G62" s="64"/>
      <c r="H62" s="53">
        <f>31300.51817*0.85</f>
        <v>26605.4404445</v>
      </c>
      <c r="I62" s="54" t="s">
        <v>93</v>
      </c>
    </row>
    <row r="63" ht="18.75" customHeight="1">
      <c r="B63" s="48"/>
      <c r="C63" s="49"/>
      <c r="D63" s="50"/>
      <c r="E63" s="49"/>
      <c r="F63" s="57" t="s">
        <v>94</v>
      </c>
      <c r="G63" s="58"/>
      <c r="H63" s="53">
        <f>19673.16908*0.85</f>
        <v>16722.193717999999</v>
      </c>
      <c r="I63" s="59" t="s">
        <v>47</v>
      </c>
    </row>
    <row r="64" ht="17.25">
      <c r="B64" s="48"/>
      <c r="C64" s="49"/>
      <c r="D64" s="50"/>
      <c r="E64" s="49"/>
      <c r="F64" s="65" t="s">
        <v>95</v>
      </c>
      <c r="G64" s="45"/>
      <c r="H64" s="46">
        <f>SUM(H65:H81)</f>
        <v>365049.96940465004</v>
      </c>
      <c r="I64" s="47"/>
    </row>
    <row r="65" ht="49.5" customHeight="1">
      <c r="B65" s="48"/>
      <c r="C65" s="49"/>
      <c r="D65" s="50"/>
      <c r="E65" s="49"/>
      <c r="F65" s="55" t="s">
        <v>96</v>
      </c>
      <c r="G65" s="55" t="s">
        <v>97</v>
      </c>
      <c r="H65" s="53">
        <v>416.64846999999997</v>
      </c>
      <c r="I65" s="54" t="s">
        <v>20</v>
      </c>
    </row>
    <row r="66" ht="31.5">
      <c r="B66" s="48"/>
      <c r="C66" s="49"/>
      <c r="D66" s="50"/>
      <c r="E66" s="49"/>
      <c r="F66" s="55" t="s">
        <v>98</v>
      </c>
      <c r="G66" s="55" t="s">
        <v>99</v>
      </c>
      <c r="H66" s="53">
        <v>65964.461865250007</v>
      </c>
      <c r="I66" s="54" t="s">
        <v>20</v>
      </c>
    </row>
    <row r="67" ht="30" customHeight="1">
      <c r="B67" s="48"/>
      <c r="C67" s="49"/>
      <c r="D67" s="50"/>
      <c r="E67" s="49"/>
      <c r="F67" s="55" t="s">
        <v>100</v>
      </c>
      <c r="G67" s="55" t="s">
        <v>101</v>
      </c>
      <c r="H67" s="53">
        <v>32772.131421400001</v>
      </c>
      <c r="I67" s="54" t="s">
        <v>20</v>
      </c>
    </row>
    <row r="68" ht="35.25" customHeight="1">
      <c r="B68" s="48"/>
      <c r="C68" s="49"/>
      <c r="D68" s="50"/>
      <c r="E68" s="49"/>
      <c r="F68" s="55" t="s">
        <v>102</v>
      </c>
      <c r="G68" s="55" t="s">
        <v>103</v>
      </c>
      <c r="H68" s="53">
        <v>9494.3126745000009</v>
      </c>
      <c r="I68" s="54" t="s">
        <v>20</v>
      </c>
    </row>
    <row r="69" ht="35.25" customHeight="1">
      <c r="B69" s="48"/>
      <c r="C69" s="49"/>
      <c r="D69" s="50"/>
      <c r="E69" s="49"/>
      <c r="F69" s="55" t="s">
        <v>104</v>
      </c>
      <c r="G69" s="55" t="s">
        <v>105</v>
      </c>
      <c r="H69" s="53">
        <v>22832.288852499998</v>
      </c>
      <c r="I69" s="54" t="s">
        <v>20</v>
      </c>
    </row>
    <row r="70" ht="35.25" customHeight="1">
      <c r="B70" s="48"/>
      <c r="C70" s="49"/>
      <c r="D70" s="50"/>
      <c r="E70" s="49"/>
      <c r="F70" s="55" t="s">
        <v>106</v>
      </c>
      <c r="G70" s="55" t="s">
        <v>107</v>
      </c>
      <c r="H70" s="53">
        <f>23610.29598*0.85</f>
        <v>20068.751582999997</v>
      </c>
      <c r="I70" s="54" t="s">
        <v>26</v>
      </c>
    </row>
    <row r="71" ht="27.75" customHeight="1">
      <c r="B71" s="48"/>
      <c r="C71" s="49"/>
      <c r="D71" s="50"/>
      <c r="E71" s="49"/>
      <c r="F71" s="51" t="s">
        <v>108</v>
      </c>
      <c r="G71" s="51" t="s">
        <v>109</v>
      </c>
      <c r="H71" s="53">
        <v>85</v>
      </c>
      <c r="I71" s="54" t="s">
        <v>20</v>
      </c>
    </row>
    <row r="72" ht="30.75" customHeight="1">
      <c r="B72" s="48"/>
      <c r="C72" s="49"/>
      <c r="D72" s="50"/>
      <c r="E72" s="49"/>
      <c r="F72" s="57"/>
      <c r="G72" s="57"/>
      <c r="H72" s="53">
        <f>2575.9764*0.85</f>
        <v>2189.5799400000001</v>
      </c>
      <c r="I72" s="54" t="s">
        <v>26</v>
      </c>
    </row>
    <row r="73" ht="30.75" customHeight="1">
      <c r="B73" s="48"/>
      <c r="C73" s="49"/>
      <c r="D73" s="50"/>
      <c r="E73" s="49"/>
      <c r="F73" s="57" t="s">
        <v>110</v>
      </c>
      <c r="G73" s="57" t="s">
        <v>111</v>
      </c>
      <c r="H73" s="53">
        <v>5358.463436</v>
      </c>
      <c r="I73" s="54" t="s">
        <v>20</v>
      </c>
    </row>
    <row r="74" ht="30.75" customHeight="1">
      <c r="B74" s="48"/>
      <c r="C74" s="49"/>
      <c r="D74" s="50"/>
      <c r="E74" s="49"/>
      <c r="F74" s="55" t="s">
        <v>112</v>
      </c>
      <c r="G74" s="55" t="s">
        <v>113</v>
      </c>
      <c r="H74" s="53">
        <v>29194.020849199995</v>
      </c>
      <c r="I74" s="54" t="s">
        <v>20</v>
      </c>
      <c r="L74" s="23"/>
    </row>
    <row r="75" ht="36" customHeight="1">
      <c r="B75" s="48"/>
      <c r="C75" s="49"/>
      <c r="D75" s="50"/>
      <c r="E75" s="49"/>
      <c r="F75" s="55" t="s">
        <v>114</v>
      </c>
      <c r="G75" s="55" t="s">
        <v>115</v>
      </c>
      <c r="H75" s="53">
        <v>1325.8543105000001</v>
      </c>
      <c r="I75" s="54" t="s">
        <v>20</v>
      </c>
      <c r="L75" s="23"/>
    </row>
    <row r="76" ht="25.5" customHeight="1">
      <c r="B76" s="48"/>
      <c r="C76" s="49"/>
      <c r="D76" s="50"/>
      <c r="E76" s="49"/>
      <c r="F76" s="55" t="s">
        <v>116</v>
      </c>
      <c r="G76" s="55" t="s">
        <v>117</v>
      </c>
      <c r="H76" s="53">
        <v>120787.94903555003</v>
      </c>
      <c r="I76" s="54" t="s">
        <v>20</v>
      </c>
      <c r="L76" s="23"/>
    </row>
    <row r="77" ht="31.5">
      <c r="B77" s="48"/>
      <c r="C77" s="49"/>
      <c r="D77" s="50"/>
      <c r="E77" s="49"/>
      <c r="F77" s="55" t="s">
        <v>118</v>
      </c>
      <c r="G77" s="55" t="s">
        <v>119</v>
      </c>
      <c r="H77" s="53">
        <v>7983.5501012499999</v>
      </c>
      <c r="I77" s="54" t="s">
        <v>20</v>
      </c>
      <c r="L77" s="23"/>
    </row>
    <row r="78" ht="38.25" customHeight="1">
      <c r="B78" s="48"/>
      <c r="C78" s="49"/>
      <c r="D78" s="50"/>
      <c r="E78" s="49"/>
      <c r="F78" s="55" t="s">
        <v>120</v>
      </c>
      <c r="G78" s="55" t="s">
        <v>121</v>
      </c>
      <c r="H78" s="53">
        <v>1939.4277104999999</v>
      </c>
      <c r="I78" s="54" t="s">
        <v>20</v>
      </c>
    </row>
    <row r="79" ht="26.25" customHeight="1">
      <c r="B79" s="48"/>
      <c r="C79" s="49"/>
      <c r="D79" s="50"/>
      <c r="E79" s="49"/>
      <c r="F79" s="51" t="s">
        <v>122</v>
      </c>
      <c r="G79" s="63"/>
      <c r="H79" s="53">
        <f>1901.424*0.85</f>
        <v>1616.2103999999999</v>
      </c>
      <c r="I79" s="54" t="s">
        <v>93</v>
      </c>
    </row>
    <row r="80" ht="28.5" customHeight="1">
      <c r="B80" s="48"/>
      <c r="C80" s="49"/>
      <c r="D80" s="50"/>
      <c r="E80" s="49"/>
      <c r="F80" s="57"/>
      <c r="G80" s="64"/>
      <c r="H80" s="53">
        <v>37714.764896000015</v>
      </c>
      <c r="I80" s="54" t="s">
        <v>20</v>
      </c>
    </row>
    <row r="81">
      <c r="B81" s="48"/>
      <c r="C81" s="49"/>
      <c r="D81" s="50"/>
      <c r="E81" s="49"/>
      <c r="F81" s="55" t="s">
        <v>123</v>
      </c>
      <c r="G81" s="56"/>
      <c r="H81" s="53">
        <f>6243.00454*0.85</f>
        <v>5306.5538589999996</v>
      </c>
      <c r="I81" s="54" t="s">
        <v>47</v>
      </c>
    </row>
    <row r="82" ht="18.75">
      <c r="B82" s="48"/>
      <c r="C82" s="49"/>
      <c r="D82" s="50"/>
      <c r="E82" s="49"/>
      <c r="F82" s="45" t="s">
        <v>124</v>
      </c>
      <c r="G82" s="45"/>
      <c r="H82" s="46">
        <f>SUM(H83:H105)</f>
        <v>162071.88026975005</v>
      </c>
      <c r="I82" s="47"/>
    </row>
    <row r="83">
      <c r="B83" s="48"/>
      <c r="C83" s="49"/>
      <c r="D83" s="50"/>
      <c r="E83" s="49"/>
      <c r="F83" s="51" t="s">
        <v>125</v>
      </c>
      <c r="G83" s="52" t="s">
        <v>126</v>
      </c>
      <c r="H83" s="53">
        <v>5744.7510780000002</v>
      </c>
      <c r="I83" s="54" t="s">
        <v>20</v>
      </c>
    </row>
    <row r="84">
      <c r="B84" s="48"/>
      <c r="C84" s="49"/>
      <c r="D84" s="50"/>
      <c r="E84" s="49"/>
      <c r="F84" s="58"/>
      <c r="G84" s="58"/>
      <c r="H84" s="53">
        <f>45405.74241*0.85</f>
        <v>38594.881048499999</v>
      </c>
      <c r="I84" s="54" t="s">
        <v>26</v>
      </c>
    </row>
    <row r="85" ht="36" customHeight="1">
      <c r="B85" s="48"/>
      <c r="C85" s="49"/>
      <c r="D85" s="50"/>
      <c r="E85" s="49"/>
      <c r="F85" s="58" t="s">
        <v>127</v>
      </c>
      <c r="G85" s="58" t="s">
        <v>128</v>
      </c>
      <c r="H85" s="53">
        <f>2287.27275*0.85</f>
        <v>1944.1818375</v>
      </c>
      <c r="I85" s="54" t="s">
        <v>26</v>
      </c>
    </row>
    <row r="86" ht="47.25">
      <c r="B86" s="48"/>
      <c r="C86" s="49"/>
      <c r="D86" s="50"/>
      <c r="E86" s="49"/>
      <c r="F86" s="55" t="s">
        <v>129</v>
      </c>
      <c r="G86" s="56" t="s">
        <v>130</v>
      </c>
      <c r="H86" s="53">
        <v>416.64846999999997</v>
      </c>
      <c r="I86" s="54" t="s">
        <v>20</v>
      </c>
    </row>
    <row r="87" ht="35.25" customHeight="1">
      <c r="B87" s="48"/>
      <c r="C87" s="49"/>
      <c r="D87" s="50"/>
      <c r="E87" s="49"/>
      <c r="F87" s="51" t="s">
        <v>131</v>
      </c>
      <c r="G87" s="52" t="s">
        <v>132</v>
      </c>
      <c r="H87" s="53">
        <v>139.12677100000002</v>
      </c>
      <c r="I87" s="54" t="s">
        <v>20</v>
      </c>
    </row>
    <row r="88" ht="27" customHeight="1">
      <c r="B88" s="48"/>
      <c r="C88" s="49"/>
      <c r="D88" s="50"/>
      <c r="E88" s="49"/>
      <c r="F88" s="58"/>
      <c r="G88" s="58"/>
      <c r="H88" s="53">
        <f>3731.38147*0.85</f>
        <v>3171.6742494999999</v>
      </c>
      <c r="I88" s="54" t="s">
        <v>93</v>
      </c>
    </row>
    <row r="89" ht="27" customHeight="1">
      <c r="B89" s="48"/>
      <c r="C89" s="49"/>
      <c r="D89" s="50"/>
      <c r="E89" s="49"/>
      <c r="F89" s="51" t="s">
        <v>133</v>
      </c>
      <c r="G89" s="63" t="s">
        <v>134</v>
      </c>
      <c r="H89" s="53">
        <v>415.29585600000001</v>
      </c>
      <c r="I89" s="54" t="s">
        <v>20</v>
      </c>
    </row>
    <row r="90" ht="33.75" customHeight="1">
      <c r="B90" s="48"/>
      <c r="C90" s="49"/>
      <c r="D90" s="50"/>
      <c r="E90" s="49"/>
      <c r="F90" s="58"/>
      <c r="G90" s="64"/>
      <c r="H90" s="53">
        <f>7479.71874*0.85</f>
        <v>6357.760929</v>
      </c>
      <c r="I90" s="54" t="s">
        <v>93</v>
      </c>
    </row>
    <row r="91" ht="31.5">
      <c r="B91" s="48"/>
      <c r="C91" s="49"/>
      <c r="D91" s="50"/>
      <c r="E91" s="49"/>
      <c r="F91" s="55" t="s">
        <v>135</v>
      </c>
      <c r="G91" s="56" t="s">
        <v>136</v>
      </c>
      <c r="H91" s="53">
        <v>94.42301375000001</v>
      </c>
      <c r="I91" s="54" t="s">
        <v>20</v>
      </c>
    </row>
    <row r="92">
      <c r="B92" s="48"/>
      <c r="C92" s="49"/>
      <c r="D92" s="50"/>
      <c r="E92" s="49"/>
      <c r="F92" s="51" t="s">
        <v>137</v>
      </c>
      <c r="G92" s="52" t="s">
        <v>138</v>
      </c>
      <c r="H92" s="53">
        <v>67.604631000000012</v>
      </c>
      <c r="I92" s="54" t="s">
        <v>20</v>
      </c>
    </row>
    <row r="93">
      <c r="B93" s="48"/>
      <c r="C93" s="49"/>
      <c r="D93" s="50"/>
      <c r="E93" s="49"/>
      <c r="F93" s="58"/>
      <c r="G93" s="58"/>
      <c r="H93" s="53">
        <f>11518.1294*0.85</f>
        <v>9790.4099900000001</v>
      </c>
      <c r="I93" s="54" t="s">
        <v>26</v>
      </c>
    </row>
    <row r="94">
      <c r="B94" s="48"/>
      <c r="C94" s="49"/>
      <c r="D94" s="50"/>
      <c r="E94" s="49"/>
      <c r="F94" s="51" t="s">
        <v>139</v>
      </c>
      <c r="G94" s="52" t="s">
        <v>140</v>
      </c>
      <c r="H94" s="53">
        <v>1660.37968275</v>
      </c>
      <c r="I94" s="54" t="s">
        <v>20</v>
      </c>
      <c r="L94" s="34"/>
    </row>
    <row r="95">
      <c r="B95" s="48"/>
      <c r="C95" s="49"/>
      <c r="D95" s="50"/>
      <c r="E95" s="49"/>
      <c r="F95" s="58"/>
      <c r="G95" s="58"/>
      <c r="H95" s="53">
        <f>22143.12742*0.85</f>
        <v>18821.658307000002</v>
      </c>
      <c r="I95" s="54" t="s">
        <v>26</v>
      </c>
      <c r="L95" s="34"/>
    </row>
    <row r="96">
      <c r="B96" s="48"/>
      <c r="C96" s="49"/>
      <c r="D96" s="50"/>
      <c r="E96" s="49"/>
      <c r="F96" s="51" t="s">
        <v>141</v>
      </c>
      <c r="G96" s="52" t="s">
        <v>142</v>
      </c>
      <c r="H96" s="53">
        <v>2183.9676145000099</v>
      </c>
      <c r="I96" s="54" t="s">
        <v>20</v>
      </c>
    </row>
    <row r="97">
      <c r="B97" s="48"/>
      <c r="C97" s="49"/>
      <c r="D97" s="50"/>
      <c r="E97" s="49"/>
      <c r="F97" s="58"/>
      <c r="G97" s="58"/>
      <c r="H97" s="53">
        <f>35353.46979*0.85</f>
        <v>30050.4493215</v>
      </c>
      <c r="I97" s="54" t="s">
        <v>26</v>
      </c>
    </row>
    <row r="98" ht="31.5">
      <c r="B98" s="48"/>
      <c r="C98" s="49"/>
      <c r="D98" s="50"/>
      <c r="E98" s="49"/>
      <c r="F98" s="56" t="s">
        <v>143</v>
      </c>
      <c r="G98" s="56" t="s">
        <v>144</v>
      </c>
      <c r="H98" s="53">
        <f>570*0.85</f>
        <v>484.5</v>
      </c>
      <c r="I98" s="54" t="s">
        <v>26</v>
      </c>
    </row>
    <row r="99" ht="31.5">
      <c r="B99" s="48"/>
      <c r="C99" s="49"/>
      <c r="D99" s="50"/>
      <c r="E99" s="49"/>
      <c r="F99" s="55" t="s">
        <v>145</v>
      </c>
      <c r="G99" s="56" t="s">
        <v>146</v>
      </c>
      <c r="H99" s="53">
        <v>1875</v>
      </c>
      <c r="I99" s="54" t="s">
        <v>20</v>
      </c>
    </row>
    <row r="100" ht="31.5">
      <c r="B100" s="48"/>
      <c r="C100" s="49"/>
      <c r="D100" s="50"/>
      <c r="E100" s="49"/>
      <c r="F100" s="51" t="s">
        <v>147</v>
      </c>
      <c r="G100" s="52" t="s">
        <v>148</v>
      </c>
      <c r="H100" s="53">
        <v>1108.6316674999998</v>
      </c>
      <c r="I100" s="54" t="s">
        <v>20</v>
      </c>
    </row>
    <row r="101" ht="31.5">
      <c r="B101" s="48"/>
      <c r="C101" s="49"/>
      <c r="D101" s="50"/>
      <c r="E101" s="49"/>
      <c r="F101" s="55" t="s">
        <v>149</v>
      </c>
      <c r="G101" s="56" t="s">
        <v>150</v>
      </c>
      <c r="H101" s="53">
        <v>2359.2021662500001</v>
      </c>
      <c r="I101" s="54" t="s">
        <v>20</v>
      </c>
    </row>
    <row r="102" ht="35.25" customHeight="1">
      <c r="B102" s="48"/>
      <c r="C102" s="49"/>
      <c r="D102" s="50"/>
      <c r="E102" s="49"/>
      <c r="F102" s="56" t="s">
        <v>151</v>
      </c>
      <c r="G102" s="56" t="s">
        <v>152</v>
      </c>
      <c r="H102" s="53">
        <f>3100*0.85</f>
        <v>2635</v>
      </c>
      <c r="I102" s="54" t="s">
        <v>93</v>
      </c>
    </row>
    <row r="103">
      <c r="B103" s="48"/>
      <c r="C103" s="49"/>
      <c r="D103" s="50"/>
      <c r="E103" s="49"/>
      <c r="F103" s="51" t="s">
        <v>153</v>
      </c>
      <c r="G103" s="52"/>
      <c r="H103" s="53">
        <v>9687.9398335000005</v>
      </c>
      <c r="I103" s="54" t="s">
        <v>20</v>
      </c>
    </row>
    <row r="104">
      <c r="B104" s="48"/>
      <c r="C104" s="49"/>
      <c r="D104" s="50"/>
      <c r="E104" s="49"/>
      <c r="F104" s="58"/>
      <c r="G104" s="58"/>
      <c r="H104" s="53">
        <f>11737.84664*0.85</f>
        <v>9977.1696439999996</v>
      </c>
      <c r="I104" s="54" t="s">
        <v>93</v>
      </c>
    </row>
    <row r="105">
      <c r="B105" s="48"/>
      <c r="C105" s="49"/>
      <c r="D105" s="50"/>
      <c r="E105" s="49"/>
      <c r="F105" s="56" t="s">
        <v>154</v>
      </c>
      <c r="G105" s="56"/>
      <c r="H105" s="53">
        <f>17048.49901*0.85</f>
        <v>14491.224158499999</v>
      </c>
      <c r="I105" s="54" t="s">
        <v>47</v>
      </c>
    </row>
    <row r="106" ht="18.75">
      <c r="B106" s="48"/>
      <c r="C106" s="49"/>
      <c r="D106" s="50"/>
      <c r="E106" s="49"/>
      <c r="F106" s="45" t="s">
        <v>155</v>
      </c>
      <c r="G106" s="45"/>
      <c r="H106" s="46">
        <f>SUM(H107:H127)</f>
        <v>368778.62967783335</v>
      </c>
      <c r="I106" s="47"/>
    </row>
    <row r="107">
      <c r="B107" s="48"/>
      <c r="C107" s="49"/>
      <c r="D107" s="50"/>
      <c r="E107" s="49"/>
      <c r="F107" s="55" t="s">
        <v>156</v>
      </c>
      <c r="G107" s="56" t="s">
        <v>157</v>
      </c>
      <c r="H107" s="53">
        <v>90466.242175166684</v>
      </c>
      <c r="I107" s="54" t="s">
        <v>20</v>
      </c>
    </row>
    <row r="108" ht="31.5">
      <c r="B108" s="48"/>
      <c r="C108" s="49"/>
      <c r="D108" s="50"/>
      <c r="E108" s="49"/>
      <c r="F108" s="55" t="s">
        <v>158</v>
      </c>
      <c r="G108" s="56" t="s">
        <v>159</v>
      </c>
      <c r="H108" s="53">
        <v>9999.1185299999997</v>
      </c>
      <c r="I108" s="54" t="s">
        <v>20</v>
      </c>
      <c r="L108" s="34"/>
    </row>
    <row r="109" ht="47.25">
      <c r="B109" s="48"/>
      <c r="C109" s="49"/>
      <c r="D109" s="50"/>
      <c r="E109" s="49"/>
      <c r="F109" s="55" t="s">
        <v>160</v>
      </c>
      <c r="G109" s="56" t="s">
        <v>161</v>
      </c>
      <c r="H109" s="53">
        <v>25207.052253333339</v>
      </c>
      <c r="I109" s="54" t="s">
        <v>20</v>
      </c>
      <c r="L109" s="34"/>
    </row>
    <row r="110" ht="46.5" customHeight="1">
      <c r="B110" s="48"/>
      <c r="C110" s="49"/>
      <c r="D110" s="50"/>
      <c r="E110" s="49"/>
      <c r="F110" s="55" t="s">
        <v>162</v>
      </c>
      <c r="G110" s="56" t="s">
        <v>163</v>
      </c>
      <c r="H110" s="53">
        <f>1324.99487*0.9</f>
        <v>1192.4953829999999</v>
      </c>
      <c r="I110" s="54" t="s">
        <v>26</v>
      </c>
      <c r="L110" s="34"/>
    </row>
    <row r="111" ht="46.5" customHeight="1">
      <c r="B111" s="48"/>
      <c r="C111" s="49"/>
      <c r="D111" s="50"/>
      <c r="E111" s="49"/>
      <c r="F111" s="55" t="s">
        <v>164</v>
      </c>
      <c r="G111" s="56" t="s">
        <v>165</v>
      </c>
      <c r="H111" s="53">
        <f>457.851*0.9</f>
        <v>412.0659</v>
      </c>
      <c r="I111" s="54" t="s">
        <v>26</v>
      </c>
      <c r="L111" s="34"/>
    </row>
    <row r="112" ht="46.5" customHeight="1">
      <c r="B112" s="48"/>
      <c r="C112" s="49"/>
      <c r="D112" s="50"/>
      <c r="E112" s="49"/>
      <c r="F112" s="55" t="s">
        <v>166</v>
      </c>
      <c r="G112" s="56" t="s">
        <v>167</v>
      </c>
      <c r="H112" s="53">
        <f>20591.06627*0.9</f>
        <v>18531.959642999998</v>
      </c>
      <c r="I112" s="54" t="s">
        <v>26</v>
      </c>
      <c r="L112" s="34"/>
    </row>
    <row r="113" ht="46.5" customHeight="1">
      <c r="B113" s="48"/>
      <c r="C113" s="49"/>
      <c r="D113" s="50"/>
      <c r="E113" s="49"/>
      <c r="F113" s="55" t="s">
        <v>168</v>
      </c>
      <c r="G113" s="56" t="s">
        <v>169</v>
      </c>
      <c r="H113" s="53">
        <f>13035.96384*0.9</f>
        <v>11732.367456</v>
      </c>
      <c r="I113" s="54" t="s">
        <v>26</v>
      </c>
      <c r="L113" s="34"/>
    </row>
    <row r="114" ht="31.5" customHeight="1">
      <c r="B114" s="48"/>
      <c r="C114" s="49"/>
      <c r="D114" s="50"/>
      <c r="E114" s="49"/>
      <c r="F114" s="51" t="s">
        <v>170</v>
      </c>
      <c r="G114" s="63" t="s">
        <v>171</v>
      </c>
      <c r="H114" s="53">
        <v>137.27372999999997</v>
      </c>
      <c r="I114" s="54" t="s">
        <v>20</v>
      </c>
    </row>
    <row r="115" ht="24" customHeight="1">
      <c r="B115" s="48"/>
      <c r="C115" s="49"/>
      <c r="D115" s="50"/>
      <c r="E115" s="49"/>
      <c r="F115" s="57"/>
      <c r="G115" s="64"/>
      <c r="H115" s="53">
        <f>1470.18958*0.9</f>
        <v>1323.1706220000001</v>
      </c>
      <c r="I115" s="54" t="s">
        <v>26</v>
      </c>
    </row>
    <row r="116" ht="47.25" customHeight="1">
      <c r="B116" s="48"/>
      <c r="C116" s="49"/>
      <c r="D116" s="50"/>
      <c r="E116" s="49"/>
      <c r="F116" s="55" t="s">
        <v>172</v>
      </c>
      <c r="G116" s="56" t="s">
        <v>173</v>
      </c>
      <c r="H116" s="53">
        <f>192.38596*0.9</f>
        <v>173.14736400000001</v>
      </c>
      <c r="I116" s="54" t="s">
        <v>26</v>
      </c>
    </row>
    <row r="117" ht="47.25" customHeight="1">
      <c r="B117" s="48"/>
      <c r="C117" s="49"/>
      <c r="D117" s="50"/>
      <c r="E117" s="49"/>
      <c r="F117" s="55" t="s">
        <v>174</v>
      </c>
      <c r="G117" s="56" t="s">
        <v>175</v>
      </c>
      <c r="H117" s="53">
        <v>17635.270679999972</v>
      </c>
      <c r="I117" s="54" t="s">
        <v>20</v>
      </c>
    </row>
    <row r="118" ht="54" customHeight="1">
      <c r="B118" s="48"/>
      <c r="C118" s="49"/>
      <c r="D118" s="50"/>
      <c r="E118" s="49"/>
      <c r="F118" s="55" t="s">
        <v>176</v>
      </c>
      <c r="G118" s="56" t="s">
        <v>177</v>
      </c>
      <c r="H118" s="53">
        <v>45750.057440000004</v>
      </c>
      <c r="I118" s="54" t="s">
        <v>20</v>
      </c>
    </row>
    <row r="119" ht="31.5" customHeight="1">
      <c r="B119" s="48"/>
      <c r="C119" s="49"/>
      <c r="D119" s="50"/>
      <c r="E119" s="49"/>
      <c r="F119" s="51" t="s">
        <v>178</v>
      </c>
      <c r="G119" s="52" t="s">
        <v>179</v>
      </c>
      <c r="H119" s="53">
        <v>35.276469999999996</v>
      </c>
      <c r="I119" s="54" t="s">
        <v>20</v>
      </c>
    </row>
    <row r="120" ht="47.25">
      <c r="B120" s="48"/>
      <c r="C120" s="49"/>
      <c r="D120" s="50"/>
      <c r="E120" s="49"/>
      <c r="F120" s="55" t="s">
        <v>180</v>
      </c>
      <c r="G120" s="56" t="s">
        <v>181</v>
      </c>
      <c r="H120" s="53">
        <f>-2268*0.9</f>
        <v>-2041.2</v>
      </c>
      <c r="I120" s="54" t="s">
        <v>26</v>
      </c>
    </row>
    <row r="121" ht="26.25" customHeight="1">
      <c r="B121" s="48"/>
      <c r="C121" s="49"/>
      <c r="D121" s="50"/>
      <c r="E121" s="49"/>
      <c r="F121" s="51" t="s">
        <v>182</v>
      </c>
      <c r="G121" s="63" t="s">
        <v>183</v>
      </c>
      <c r="H121" s="53">
        <v>1250</v>
      </c>
      <c r="I121" s="54" t="s">
        <v>20</v>
      </c>
    </row>
    <row r="122" ht="25.5" customHeight="1">
      <c r="B122" s="48"/>
      <c r="C122" s="49"/>
      <c r="D122" s="50"/>
      <c r="E122" s="49"/>
      <c r="F122" s="57"/>
      <c r="G122" s="64"/>
      <c r="H122" s="53">
        <f>24840.55498*0.9</f>
        <v>22356.499482000003</v>
      </c>
      <c r="I122" s="54" t="s">
        <v>26</v>
      </c>
    </row>
    <row r="123" ht="46.5" customHeight="1">
      <c r="B123" s="48"/>
      <c r="C123" s="49"/>
      <c r="D123" s="50"/>
      <c r="E123" s="49"/>
      <c r="F123" s="55" t="s">
        <v>184</v>
      </c>
      <c r="G123" s="56" t="s">
        <v>185</v>
      </c>
      <c r="H123" s="53">
        <v>24833.576761333326</v>
      </c>
      <c r="I123" s="54" t="s">
        <v>20</v>
      </c>
    </row>
    <row r="124" ht="31.5">
      <c r="B124" s="48"/>
      <c r="C124" s="49"/>
      <c r="D124" s="50"/>
      <c r="E124" s="49"/>
      <c r="F124" s="55" t="s">
        <v>186</v>
      </c>
      <c r="G124" s="56" t="s">
        <v>187</v>
      </c>
      <c r="H124" s="53">
        <v>8244.5067200000012</v>
      </c>
      <c r="I124" s="54" t="s">
        <v>20</v>
      </c>
    </row>
    <row r="125" ht="47.25">
      <c r="B125" s="48"/>
      <c r="C125" s="49"/>
      <c r="D125" s="50"/>
      <c r="E125" s="49"/>
      <c r="F125" s="55" t="s">
        <v>188</v>
      </c>
      <c r="G125" s="56" t="s">
        <v>189</v>
      </c>
      <c r="H125" s="53">
        <v>62276</v>
      </c>
      <c r="I125" s="54" t="s">
        <v>20</v>
      </c>
      <c r="M125" s="34"/>
    </row>
    <row r="126">
      <c r="B126" s="48"/>
      <c r="C126" s="49"/>
      <c r="D126" s="50"/>
      <c r="E126" s="49"/>
      <c r="F126" s="51" t="s">
        <v>190</v>
      </c>
      <c r="G126" s="52"/>
      <c r="H126" s="53">
        <v>9363.5287129999997</v>
      </c>
      <c r="I126" s="54" t="s">
        <v>20</v>
      </c>
    </row>
    <row r="127">
      <c r="B127" s="48"/>
      <c r="C127" s="49"/>
      <c r="D127" s="50"/>
      <c r="E127" s="49"/>
      <c r="F127" s="55" t="s">
        <v>191</v>
      </c>
      <c r="G127" s="56"/>
      <c r="H127" s="53">
        <f>22111.35595*0.9</f>
        <v>19900.220355000001</v>
      </c>
      <c r="I127" s="54" t="s">
        <v>47</v>
      </c>
    </row>
    <row r="128" ht="18.75">
      <c r="B128" s="48"/>
      <c r="C128" s="49"/>
      <c r="D128" s="50"/>
      <c r="E128" s="49"/>
      <c r="F128" s="45" t="s">
        <v>192</v>
      </c>
      <c r="G128" s="45"/>
      <c r="H128" s="46">
        <f>SUM(H129:H142)</f>
        <v>182060.99689546507</v>
      </c>
      <c r="I128" s="66"/>
    </row>
    <row r="129" ht="31.5">
      <c r="B129" s="48"/>
      <c r="C129" s="49"/>
      <c r="D129" s="50"/>
      <c r="E129" s="49"/>
      <c r="F129" s="55" t="s">
        <v>193</v>
      </c>
      <c r="G129" s="56" t="s">
        <v>194</v>
      </c>
      <c r="H129" s="53">
        <v>1070.5443774999999</v>
      </c>
      <c r="I129" s="54" t="s">
        <v>20</v>
      </c>
    </row>
    <row r="130" ht="36" customHeight="1">
      <c r="B130" s="48"/>
      <c r="C130" s="49"/>
      <c r="D130" s="50"/>
      <c r="E130" s="49"/>
      <c r="F130" s="58" t="s">
        <v>195</v>
      </c>
      <c r="G130" s="58" t="s">
        <v>196</v>
      </c>
      <c r="H130" s="53">
        <f>88625.4346*0.85</f>
        <v>75331.619409999999</v>
      </c>
      <c r="I130" s="54" t="s">
        <v>197</v>
      </c>
    </row>
    <row r="131" ht="26.25" customHeight="1">
      <c r="B131" s="48"/>
      <c r="C131" s="49"/>
      <c r="D131" s="50"/>
      <c r="E131" s="49"/>
      <c r="F131" s="51" t="s">
        <v>198</v>
      </c>
      <c r="G131" s="52" t="s">
        <v>199</v>
      </c>
      <c r="H131" s="53">
        <v>3300.2633699999978</v>
      </c>
      <c r="I131" s="54" t="s">
        <v>20</v>
      </c>
    </row>
    <row r="132" ht="21.75" customHeight="1">
      <c r="B132" s="48"/>
      <c r="C132" s="49"/>
      <c r="D132" s="50"/>
      <c r="E132" s="49"/>
      <c r="F132" s="58"/>
      <c r="G132" s="58"/>
      <c r="H132" s="53">
        <f>4924.50713*0.85</f>
        <v>4185.8310604999997</v>
      </c>
      <c r="I132" s="59" t="s">
        <v>197</v>
      </c>
    </row>
    <row r="133" ht="47.25">
      <c r="B133" s="48"/>
      <c r="C133" s="49"/>
      <c r="D133" s="50"/>
      <c r="E133" s="49"/>
      <c r="F133" s="55" t="s">
        <v>200</v>
      </c>
      <c r="G133" s="56" t="s">
        <v>201</v>
      </c>
      <c r="H133" s="53">
        <v>7607.4969165000039</v>
      </c>
      <c r="I133" s="54" t="s">
        <v>20</v>
      </c>
    </row>
    <row r="134" ht="47.25">
      <c r="B134" s="48"/>
      <c r="C134" s="49"/>
      <c r="D134" s="50"/>
      <c r="E134" s="49"/>
      <c r="F134" s="55" t="s">
        <v>202</v>
      </c>
      <c r="G134" s="56" t="s">
        <v>203</v>
      </c>
      <c r="H134" s="53">
        <v>14535.896850000003</v>
      </c>
      <c r="I134" s="54" t="s">
        <v>20</v>
      </c>
    </row>
    <row r="135" ht="31.5" customHeight="1">
      <c r="B135" s="48"/>
      <c r="C135" s="49"/>
      <c r="D135" s="50"/>
      <c r="E135" s="49"/>
      <c r="F135" s="55" t="s">
        <v>204</v>
      </c>
      <c r="G135" s="56" t="s">
        <v>205</v>
      </c>
      <c r="H135" s="53">
        <v>3831.8600549999996</v>
      </c>
      <c r="I135" s="54" t="s">
        <v>20</v>
      </c>
    </row>
    <row r="136" ht="30" customHeight="1">
      <c r="B136" s="48"/>
      <c r="C136" s="49"/>
      <c r="D136" s="50"/>
      <c r="E136" s="49"/>
      <c r="F136" s="55" t="s">
        <v>206</v>
      </c>
      <c r="G136" s="56" t="s">
        <v>207</v>
      </c>
      <c r="H136" s="53">
        <v>8429.9886314500018</v>
      </c>
      <c r="I136" s="54" t="s">
        <v>20</v>
      </c>
    </row>
    <row r="137" ht="24" customHeight="1">
      <c r="B137" s="48"/>
      <c r="C137" s="49"/>
      <c r="D137" s="50"/>
      <c r="E137" s="49"/>
      <c r="F137" s="56" t="s">
        <v>208</v>
      </c>
      <c r="G137" s="56" t="s">
        <v>209</v>
      </c>
      <c r="H137" s="53">
        <f>31036.08089*0.85</f>
        <v>26380.668756499999</v>
      </c>
      <c r="I137" s="54" t="s">
        <v>197</v>
      </c>
    </row>
    <row r="138" ht="24" customHeight="1">
      <c r="B138" s="48"/>
      <c r="C138" s="49"/>
      <c r="D138" s="50"/>
      <c r="E138" s="49"/>
      <c r="F138" s="55" t="s">
        <v>210</v>
      </c>
      <c r="G138" s="56" t="s">
        <v>211</v>
      </c>
      <c r="H138" s="53">
        <v>687.93443199999933</v>
      </c>
      <c r="I138" s="54" t="s">
        <v>20</v>
      </c>
    </row>
    <row r="139" ht="41.25" customHeight="1">
      <c r="B139" s="48"/>
      <c r="C139" s="49"/>
      <c r="D139" s="50"/>
      <c r="E139" s="49"/>
      <c r="F139" s="55" t="s">
        <v>212</v>
      </c>
      <c r="G139" s="56" t="s">
        <v>213</v>
      </c>
      <c r="H139" s="53">
        <v>22427.951683499999</v>
      </c>
      <c r="I139" s="54" t="s">
        <v>20</v>
      </c>
    </row>
    <row r="140" ht="31.5">
      <c r="B140" s="48"/>
      <c r="C140" s="49"/>
      <c r="D140" s="50"/>
      <c r="E140" s="49"/>
      <c r="F140" s="55" t="s">
        <v>214</v>
      </c>
      <c r="G140" s="56" t="s">
        <v>215</v>
      </c>
      <c r="H140" s="53">
        <v>1021.9128199999998</v>
      </c>
      <c r="I140" s="54" t="s">
        <v>20</v>
      </c>
    </row>
    <row r="141">
      <c r="B141" s="48"/>
      <c r="C141" s="49"/>
      <c r="D141" s="50"/>
      <c r="E141" s="49"/>
      <c r="F141" s="51" t="s">
        <v>216</v>
      </c>
      <c r="G141" s="56"/>
      <c r="H141" s="53">
        <v>12130.414779515031</v>
      </c>
      <c r="I141" s="54" t="s">
        <v>20</v>
      </c>
    </row>
    <row r="142">
      <c r="B142" s="48"/>
      <c r="C142" s="49"/>
      <c r="D142" s="50"/>
      <c r="E142" s="49"/>
      <c r="F142" s="56" t="s">
        <v>217</v>
      </c>
      <c r="G142" s="56"/>
      <c r="H142" s="53">
        <f>1316.01618*0.85</f>
        <v>1118.6137530000001</v>
      </c>
      <c r="I142" s="54" t="s">
        <v>47</v>
      </c>
    </row>
    <row r="143" ht="18.75">
      <c r="B143" s="48"/>
      <c r="C143" s="49"/>
      <c r="D143" s="50"/>
      <c r="E143" s="49"/>
      <c r="F143" s="45" t="s">
        <v>218</v>
      </c>
      <c r="G143" s="45"/>
      <c r="H143" s="46">
        <f>SUM(H144:H154)</f>
        <v>310397.47862200002</v>
      </c>
      <c r="I143" s="47"/>
    </row>
    <row r="144" ht="31.5">
      <c r="B144" s="48"/>
      <c r="C144" s="49"/>
      <c r="D144" s="50"/>
      <c r="E144" s="49"/>
      <c r="F144" s="55" t="s">
        <v>219</v>
      </c>
      <c r="G144" s="56" t="s">
        <v>220</v>
      </c>
      <c r="H144" s="53">
        <v>1693.7682633333336</v>
      </c>
      <c r="I144" s="54" t="s">
        <v>20</v>
      </c>
    </row>
    <row r="145" ht="31.5">
      <c r="B145" s="48"/>
      <c r="C145" s="49"/>
      <c r="D145" s="50"/>
      <c r="E145" s="49"/>
      <c r="F145" s="55" t="s">
        <v>221</v>
      </c>
      <c r="G145" s="56" t="s">
        <v>222</v>
      </c>
      <c r="H145" s="53">
        <v>103712.52123666671</v>
      </c>
      <c r="I145" s="54" t="s">
        <v>20</v>
      </c>
    </row>
    <row r="146" ht="47.25">
      <c r="B146" s="48"/>
      <c r="C146" s="49"/>
      <c r="D146" s="50"/>
      <c r="E146" s="49"/>
      <c r="F146" s="55" t="s">
        <v>223</v>
      </c>
      <c r="G146" s="56" t="s">
        <v>224</v>
      </c>
      <c r="H146" s="53">
        <v>1790.22</v>
      </c>
      <c r="I146" s="54" t="s">
        <v>20</v>
      </c>
    </row>
    <row r="147" ht="51.75" customHeight="1">
      <c r="B147" s="48"/>
      <c r="C147" s="49"/>
      <c r="D147" s="50"/>
      <c r="E147" s="49"/>
      <c r="F147" s="55" t="s">
        <v>225</v>
      </c>
      <c r="G147" s="56" t="s">
        <v>226</v>
      </c>
      <c r="H147" s="53">
        <v>2784.5007320000004</v>
      </c>
      <c r="I147" s="54" t="s">
        <v>20</v>
      </c>
    </row>
    <row r="148" ht="47.25">
      <c r="B148" s="48"/>
      <c r="C148" s="49"/>
      <c r="D148" s="50"/>
      <c r="E148" s="49"/>
      <c r="F148" s="55" t="s">
        <v>227</v>
      </c>
      <c r="G148" s="56" t="s">
        <v>228</v>
      </c>
      <c r="H148" s="53">
        <v>20745</v>
      </c>
      <c r="I148" s="54" t="s">
        <v>20</v>
      </c>
    </row>
    <row r="149" ht="47.25">
      <c r="B149" s="48"/>
      <c r="C149" s="49"/>
      <c r="D149" s="50"/>
      <c r="E149" s="49"/>
      <c r="F149" s="55" t="s">
        <v>229</v>
      </c>
      <c r="G149" s="56" t="s">
        <v>230</v>
      </c>
      <c r="H149" s="53">
        <v>11945.416670000001</v>
      </c>
      <c r="I149" s="54" t="s">
        <v>20</v>
      </c>
    </row>
    <row r="150" ht="49.5" customHeight="1">
      <c r="B150" s="48"/>
      <c r="C150" s="49"/>
      <c r="D150" s="50"/>
      <c r="E150" s="49"/>
      <c r="F150" s="55" t="s">
        <v>231</v>
      </c>
      <c r="G150" s="56" t="s">
        <v>232</v>
      </c>
      <c r="H150" s="53">
        <v>15300.267316666665</v>
      </c>
      <c r="I150" s="54" t="s">
        <v>20</v>
      </c>
    </row>
    <row r="151">
      <c r="B151" s="48"/>
      <c r="C151" s="49"/>
      <c r="D151" s="50"/>
      <c r="E151" s="49"/>
      <c r="F151" s="51" t="s">
        <v>233</v>
      </c>
      <c r="G151" s="63"/>
      <c r="H151" s="53">
        <v>19064.651021000001</v>
      </c>
      <c r="I151" s="54" t="s">
        <v>20</v>
      </c>
    </row>
    <row r="152">
      <c r="B152" s="48"/>
      <c r="C152" s="49"/>
      <c r="D152" s="50"/>
      <c r="E152" s="49"/>
      <c r="F152" s="58"/>
      <c r="G152" s="64"/>
      <c r="H152" s="53">
        <f>519.5*0.9</f>
        <v>467.55000000000001</v>
      </c>
      <c r="I152" s="54" t="s">
        <v>93</v>
      </c>
    </row>
    <row r="153">
      <c r="B153" s="48"/>
      <c r="C153" s="49"/>
      <c r="D153" s="50"/>
      <c r="E153" s="49"/>
      <c r="F153" s="56" t="s">
        <v>234</v>
      </c>
      <c r="G153" s="56"/>
      <c r="H153" s="53">
        <f>37403.12681*0.9</f>
        <v>33662.814129000006</v>
      </c>
      <c r="I153" s="54" t="s">
        <v>47</v>
      </c>
    </row>
    <row r="154" ht="32.25">
      <c r="B154" s="48"/>
      <c r="C154" s="49"/>
      <c r="D154" s="50"/>
      <c r="E154" s="49"/>
      <c r="F154" s="55" t="s">
        <v>235</v>
      </c>
      <c r="G154" s="56" t="s">
        <v>236</v>
      </c>
      <c r="H154" s="53">
        <v>99230.769253333332</v>
      </c>
      <c r="I154" s="54" t="s">
        <v>20</v>
      </c>
    </row>
    <row r="155" s="35" customFormat="1" ht="19.5">
      <c r="B155" s="36"/>
      <c r="C155" s="37"/>
      <c r="D155" s="37"/>
      <c r="E155" s="37"/>
      <c r="F155" s="38" t="s">
        <v>237</v>
      </c>
      <c r="G155" s="38"/>
      <c r="H155" s="39">
        <f>H156+H180</f>
        <v>576951.38439004042</v>
      </c>
      <c r="I155" s="40"/>
    </row>
    <row r="156" ht="18.75">
      <c r="B156" s="67" t="s">
        <v>238</v>
      </c>
      <c r="C156" s="68" t="s">
        <v>239</v>
      </c>
      <c r="D156" s="69" t="s">
        <v>240</v>
      </c>
      <c r="E156" s="68" t="s">
        <v>241</v>
      </c>
      <c r="F156" s="45" t="s">
        <v>242</v>
      </c>
      <c r="G156" s="45"/>
      <c r="H156" s="70">
        <f>SUM(H157:H179)</f>
        <v>164773.33797025</v>
      </c>
      <c r="I156" s="71"/>
    </row>
    <row r="157" ht="37.5">
      <c r="B157" s="72"/>
      <c r="C157" s="73"/>
      <c r="D157" s="73"/>
      <c r="E157" s="73"/>
      <c r="F157" s="74" t="s">
        <v>243</v>
      </c>
      <c r="G157" s="75" t="s">
        <v>244</v>
      </c>
      <c r="H157" s="53">
        <v>39.578640000000014</v>
      </c>
      <c r="I157" s="54" t="s">
        <v>20</v>
      </c>
    </row>
    <row r="158" ht="36" customHeight="1">
      <c r="B158" s="72"/>
      <c r="C158" s="73"/>
      <c r="D158" s="73"/>
      <c r="E158" s="73"/>
      <c r="F158" s="74" t="s">
        <v>245</v>
      </c>
      <c r="G158" s="75" t="s">
        <v>246</v>
      </c>
      <c r="H158" s="53">
        <v>2752.59339</v>
      </c>
      <c r="I158" s="54" t="s">
        <v>20</v>
      </c>
    </row>
    <row r="159" ht="37.5">
      <c r="B159" s="72"/>
      <c r="C159" s="73"/>
      <c r="D159" s="73"/>
      <c r="E159" s="73"/>
      <c r="F159" s="74" t="s">
        <v>247</v>
      </c>
      <c r="G159" s="75" t="s">
        <v>248</v>
      </c>
      <c r="H159" s="53">
        <v>19475.667000000001</v>
      </c>
      <c r="I159" s="54" t="s">
        <v>20</v>
      </c>
    </row>
    <row r="160" ht="37.5">
      <c r="B160" s="72"/>
      <c r="C160" s="73"/>
      <c r="D160" s="73"/>
      <c r="E160" s="73"/>
      <c r="F160" s="74" t="s">
        <v>249</v>
      </c>
      <c r="G160" s="75" t="s">
        <v>250</v>
      </c>
      <c r="H160" s="53">
        <v>7910.2943099999993</v>
      </c>
      <c r="I160" s="54" t="s">
        <v>20</v>
      </c>
    </row>
    <row r="161" ht="48" customHeight="1">
      <c r="B161" s="72"/>
      <c r="C161" s="73"/>
      <c r="D161" s="73"/>
      <c r="E161" s="73"/>
      <c r="F161" s="74" t="s">
        <v>251</v>
      </c>
      <c r="G161" s="75" t="s">
        <v>252</v>
      </c>
      <c r="H161" s="53">
        <v>11124.375</v>
      </c>
      <c r="I161" s="54" t="s">
        <v>20</v>
      </c>
    </row>
    <row r="162" ht="37.5">
      <c r="B162" s="72"/>
      <c r="C162" s="73"/>
      <c r="D162" s="73"/>
      <c r="E162" s="73"/>
      <c r="F162" s="74" t="s">
        <v>253</v>
      </c>
      <c r="G162" s="75" t="s">
        <v>254</v>
      </c>
      <c r="H162" s="53">
        <v>114.96938500000002</v>
      </c>
      <c r="I162" s="54" t="s">
        <v>20</v>
      </c>
    </row>
    <row r="163" ht="37.5">
      <c r="B163" s="72"/>
      <c r="C163" s="73"/>
      <c r="D163" s="73"/>
      <c r="E163" s="73"/>
      <c r="F163" s="74" t="s">
        <v>255</v>
      </c>
      <c r="G163" s="75" t="s">
        <v>256</v>
      </c>
      <c r="H163" s="53">
        <v>27.427817500000003</v>
      </c>
      <c r="I163" s="54" t="s">
        <v>20</v>
      </c>
    </row>
    <row r="164" ht="37.5">
      <c r="B164" s="72"/>
      <c r="C164" s="73"/>
      <c r="D164" s="73"/>
      <c r="E164" s="73"/>
      <c r="F164" s="74" t="s">
        <v>257</v>
      </c>
      <c r="G164" s="75" t="s">
        <v>258</v>
      </c>
      <c r="H164" s="53">
        <v>2433.6541250000005</v>
      </c>
      <c r="I164" s="54" t="s">
        <v>20</v>
      </c>
    </row>
    <row r="165" ht="37.5">
      <c r="B165" s="72"/>
      <c r="C165" s="73"/>
      <c r="D165" s="73"/>
      <c r="E165" s="73"/>
      <c r="F165" s="74" t="s">
        <v>259</v>
      </c>
      <c r="G165" s="75" t="s">
        <v>260</v>
      </c>
      <c r="H165" s="53">
        <v>221.12474375000002</v>
      </c>
      <c r="I165" s="54" t="s">
        <v>20</v>
      </c>
    </row>
    <row r="166" ht="37.5">
      <c r="B166" s="72"/>
      <c r="C166" s="73"/>
      <c r="D166" s="73"/>
      <c r="E166" s="73"/>
      <c r="F166" s="74" t="s">
        <v>261</v>
      </c>
      <c r="G166" s="75" t="s">
        <v>262</v>
      </c>
      <c r="H166" s="53">
        <v>13239.240741000005</v>
      </c>
      <c r="I166" s="54" t="s">
        <v>20</v>
      </c>
    </row>
    <row r="167" ht="37.5">
      <c r="B167" s="72"/>
      <c r="C167" s="73"/>
      <c r="D167" s="73"/>
      <c r="E167" s="73"/>
      <c r="F167" s="74" t="s">
        <v>263</v>
      </c>
      <c r="G167" s="75" t="s">
        <v>264</v>
      </c>
      <c r="H167" s="53">
        <v>1189.5859787499994</v>
      </c>
      <c r="I167" s="54" t="s">
        <v>20</v>
      </c>
    </row>
    <row r="168" ht="37.5">
      <c r="B168" s="72"/>
      <c r="C168" s="73"/>
      <c r="D168" s="73"/>
      <c r="E168" s="73"/>
      <c r="F168" s="74" t="s">
        <v>265</v>
      </c>
      <c r="G168" s="75" t="s">
        <v>266</v>
      </c>
      <c r="H168" s="53">
        <v>13840.509300499994</v>
      </c>
      <c r="I168" s="54" t="s">
        <v>20</v>
      </c>
    </row>
    <row r="169" ht="56.25">
      <c r="B169" s="72"/>
      <c r="C169" s="73"/>
      <c r="D169" s="73"/>
      <c r="E169" s="73"/>
      <c r="F169" s="74" t="s">
        <v>267</v>
      </c>
      <c r="G169" s="75" t="s">
        <v>268</v>
      </c>
      <c r="H169" s="53">
        <v>3968.2281999999996</v>
      </c>
      <c r="I169" s="54" t="s">
        <v>20</v>
      </c>
      <c r="L169" s="76"/>
    </row>
    <row r="170" ht="57" customHeight="1">
      <c r="B170" s="72"/>
      <c r="C170" s="73"/>
      <c r="D170" s="73"/>
      <c r="E170" s="73"/>
      <c r="F170" s="74" t="s">
        <v>269</v>
      </c>
      <c r="G170" s="75" t="s">
        <v>270</v>
      </c>
      <c r="H170" s="53">
        <v>4852.5000175000005</v>
      </c>
      <c r="I170" s="54" t="s">
        <v>20</v>
      </c>
      <c r="L170" s="76"/>
    </row>
    <row r="171" ht="56.25">
      <c r="B171" s="72"/>
      <c r="C171" s="73"/>
      <c r="D171" s="73"/>
      <c r="E171" s="73"/>
      <c r="F171" s="74" t="s">
        <v>271</v>
      </c>
      <c r="G171" s="75" t="s">
        <v>272</v>
      </c>
      <c r="H171" s="53">
        <v>17361.893749999999</v>
      </c>
      <c r="I171" s="54" t="s">
        <v>20</v>
      </c>
    </row>
    <row r="172" ht="37.5">
      <c r="B172" s="72"/>
      <c r="C172" s="73"/>
      <c r="D172" s="73"/>
      <c r="E172" s="73"/>
      <c r="F172" s="74" t="s">
        <v>273</v>
      </c>
      <c r="G172" s="75" t="s">
        <v>274</v>
      </c>
      <c r="H172" s="53">
        <v>16609.790991499998</v>
      </c>
      <c r="I172" s="54" t="s">
        <v>20</v>
      </c>
    </row>
    <row r="173" ht="37.5">
      <c r="B173" s="72"/>
      <c r="C173" s="73"/>
      <c r="D173" s="73"/>
      <c r="E173" s="73"/>
      <c r="F173" s="74" t="s">
        <v>275</v>
      </c>
      <c r="G173" s="75" t="s">
        <v>276</v>
      </c>
      <c r="H173" s="53">
        <v>173.84557000000004</v>
      </c>
      <c r="I173" s="54" t="s">
        <v>20</v>
      </c>
    </row>
    <row r="174" ht="56.25">
      <c r="B174" s="72"/>
      <c r="C174" s="73"/>
      <c r="D174" s="73"/>
      <c r="E174" s="73"/>
      <c r="F174" s="74" t="s">
        <v>277</v>
      </c>
      <c r="G174" s="75" t="s">
        <v>278</v>
      </c>
      <c r="H174" s="53">
        <v>4877.1062499999971</v>
      </c>
      <c r="I174" s="54" t="s">
        <v>20</v>
      </c>
    </row>
    <row r="175" ht="37.5">
      <c r="B175" s="72"/>
      <c r="C175" s="73"/>
      <c r="D175" s="73"/>
      <c r="E175" s="73"/>
      <c r="F175" s="77" t="s">
        <v>279</v>
      </c>
      <c r="G175" s="78" t="s">
        <v>280</v>
      </c>
      <c r="H175" s="53">
        <v>862.50000000000023</v>
      </c>
      <c r="I175" s="54" t="s">
        <v>20</v>
      </c>
    </row>
    <row r="176" ht="37.5">
      <c r="B176" s="72"/>
      <c r="C176" s="73"/>
      <c r="D176" s="73"/>
      <c r="E176" s="73"/>
      <c r="F176" s="77" t="s">
        <v>281</v>
      </c>
      <c r="G176" s="78" t="s">
        <v>282</v>
      </c>
      <c r="H176" s="53">
        <v>1942.5000000000007</v>
      </c>
      <c r="I176" s="54" t="s">
        <v>20</v>
      </c>
    </row>
    <row r="177" ht="18.75" customHeight="1">
      <c r="B177" s="72"/>
      <c r="C177" s="73"/>
      <c r="D177" s="73"/>
      <c r="E177" s="73"/>
      <c r="F177" s="77" t="s">
        <v>283</v>
      </c>
      <c r="G177" s="79"/>
      <c r="H177" s="53">
        <v>5230.0511012500001</v>
      </c>
      <c r="I177" s="54" t="s">
        <v>20</v>
      </c>
    </row>
    <row r="178" ht="18.75" customHeight="1">
      <c r="B178" s="72"/>
      <c r="C178" s="73"/>
      <c r="D178" s="73"/>
      <c r="E178" s="73"/>
      <c r="F178" s="80"/>
      <c r="G178" s="81"/>
      <c r="H178" s="53">
        <f>1550.598*0.85</f>
        <v>1318.0083</v>
      </c>
      <c r="I178" s="54" t="s">
        <v>93</v>
      </c>
    </row>
    <row r="179" ht="18.75">
      <c r="B179" s="72"/>
      <c r="C179" s="73"/>
      <c r="D179" s="73"/>
      <c r="E179" s="73"/>
      <c r="F179" s="75" t="s">
        <v>284</v>
      </c>
      <c r="G179" s="75"/>
      <c r="H179" s="53">
        <f>41421.05101*0.85</f>
        <v>35207.893358500005</v>
      </c>
      <c r="I179" s="54" t="s">
        <v>47</v>
      </c>
    </row>
    <row r="180" ht="18.75">
      <c r="B180" s="72"/>
      <c r="C180" s="73"/>
      <c r="D180" s="73"/>
      <c r="E180" s="73"/>
      <c r="F180" s="45" t="s">
        <v>285</v>
      </c>
      <c r="G180" s="45"/>
      <c r="H180" s="70">
        <f>SUM(H181:H193)</f>
        <v>412178.04641979042</v>
      </c>
      <c r="I180" s="71"/>
    </row>
    <row r="181" ht="18.75">
      <c r="B181" s="72"/>
      <c r="C181" s="73"/>
      <c r="D181" s="73"/>
      <c r="E181" s="73"/>
      <c r="F181" s="74" t="s">
        <v>286</v>
      </c>
      <c r="G181" s="75" t="s">
        <v>287</v>
      </c>
      <c r="H181" s="53">
        <v>140</v>
      </c>
      <c r="I181" s="54" t="s">
        <v>20</v>
      </c>
    </row>
    <row r="182" ht="37.5">
      <c r="B182" s="72"/>
      <c r="C182" s="73"/>
      <c r="D182" s="73"/>
      <c r="E182" s="73"/>
      <c r="F182" s="74" t="s">
        <v>288</v>
      </c>
      <c r="G182" s="75" t="s">
        <v>289</v>
      </c>
      <c r="H182" s="53">
        <v>6.7820200000000002</v>
      </c>
      <c r="I182" s="54" t="s">
        <v>20</v>
      </c>
    </row>
    <row r="183" ht="37.5">
      <c r="B183" s="72"/>
      <c r="C183" s="73"/>
      <c r="D183" s="73"/>
      <c r="E183" s="73"/>
      <c r="F183" s="74" t="s">
        <v>290</v>
      </c>
      <c r="G183" s="75" t="s">
        <v>291</v>
      </c>
      <c r="H183" s="53">
        <v>53817.96828999999</v>
      </c>
      <c r="I183" s="54" t="s">
        <v>20</v>
      </c>
    </row>
    <row r="184" ht="18.75">
      <c r="B184" s="72"/>
      <c r="C184" s="73"/>
      <c r="D184" s="73"/>
      <c r="E184" s="73"/>
      <c r="F184" s="74" t="s">
        <v>292</v>
      </c>
      <c r="G184" s="75" t="s">
        <v>293</v>
      </c>
      <c r="H184" s="53">
        <v>738</v>
      </c>
      <c r="I184" s="54" t="s">
        <v>20</v>
      </c>
    </row>
    <row r="185" ht="37.5">
      <c r="B185" s="72"/>
      <c r="C185" s="73"/>
      <c r="D185" s="73"/>
      <c r="E185" s="73"/>
      <c r="F185" s="74" t="s">
        <v>294</v>
      </c>
      <c r="G185" s="75" t="s">
        <v>295</v>
      </c>
      <c r="H185" s="53">
        <v>3274.1778311666671</v>
      </c>
      <c r="I185" s="54" t="s">
        <v>20</v>
      </c>
    </row>
    <row r="186" ht="37.5">
      <c r="B186" s="72"/>
      <c r="C186" s="73"/>
      <c r="D186" s="73"/>
      <c r="E186" s="73"/>
      <c r="F186" s="74" t="s">
        <v>296</v>
      </c>
      <c r="G186" s="75" t="s">
        <v>297</v>
      </c>
      <c r="H186" s="53">
        <v>1728.9999999999998</v>
      </c>
      <c r="I186" s="54" t="s">
        <v>20</v>
      </c>
    </row>
    <row r="187" ht="37.5">
      <c r="B187" s="72"/>
      <c r="C187" s="73"/>
      <c r="D187" s="73"/>
      <c r="E187" s="73"/>
      <c r="F187" s="74" t="s">
        <v>298</v>
      </c>
      <c r="G187" s="75" t="s">
        <v>299</v>
      </c>
      <c r="H187" s="53">
        <v>1887.6177000000002</v>
      </c>
      <c r="I187" s="54" t="s">
        <v>20</v>
      </c>
    </row>
    <row r="188" ht="37.5">
      <c r="B188" s="72"/>
      <c r="C188" s="73"/>
      <c r="D188" s="73"/>
      <c r="E188" s="73"/>
      <c r="F188" s="74" t="s">
        <v>300</v>
      </c>
      <c r="G188" s="75" t="s">
        <v>301</v>
      </c>
      <c r="H188" s="53">
        <v>19540.719000000001</v>
      </c>
      <c r="I188" s="54" t="s">
        <v>20</v>
      </c>
    </row>
    <row r="189" ht="18.75">
      <c r="B189" s="72"/>
      <c r="C189" s="73"/>
      <c r="D189" s="73"/>
      <c r="E189" s="73"/>
      <c r="F189" s="74" t="s">
        <v>302</v>
      </c>
      <c r="G189" s="75" t="s">
        <v>303</v>
      </c>
      <c r="H189" s="53">
        <v>24600.247628457037</v>
      </c>
      <c r="I189" s="54" t="s">
        <v>20</v>
      </c>
    </row>
    <row r="190" ht="18.75">
      <c r="B190" s="72"/>
      <c r="C190" s="73"/>
      <c r="D190" s="73"/>
      <c r="E190" s="73"/>
      <c r="F190" s="74" t="s">
        <v>304</v>
      </c>
      <c r="G190" s="75" t="s">
        <v>305</v>
      </c>
      <c r="H190" s="53">
        <v>269758.76183999999</v>
      </c>
      <c r="I190" s="54" t="s">
        <v>20</v>
      </c>
    </row>
    <row r="191" ht="42" customHeight="1">
      <c r="B191" s="72"/>
      <c r="C191" s="73"/>
      <c r="D191" s="73"/>
      <c r="E191" s="73"/>
      <c r="F191" s="74" t="s">
        <v>306</v>
      </c>
      <c r="G191" s="75" t="s">
        <v>307</v>
      </c>
      <c r="H191" s="53">
        <v>21082.879721166668</v>
      </c>
      <c r="I191" s="54" t="s">
        <v>20</v>
      </c>
    </row>
    <row r="192" ht="18.75">
      <c r="B192" s="72"/>
      <c r="C192" s="73"/>
      <c r="D192" s="73"/>
      <c r="E192" s="73"/>
      <c r="F192" s="74" t="s">
        <v>308</v>
      </c>
      <c r="G192" s="75"/>
      <c r="H192" s="53">
        <v>332.99997999999999</v>
      </c>
      <c r="I192" s="54" t="s">
        <v>20</v>
      </c>
    </row>
    <row r="193" ht="19.5">
      <c r="B193" s="72"/>
      <c r="C193" s="73"/>
      <c r="D193" s="73"/>
      <c r="E193" s="73"/>
      <c r="F193" s="74" t="s">
        <v>309</v>
      </c>
      <c r="G193" s="75"/>
      <c r="H193" s="53">
        <f>16965.43601*0.9</f>
        <v>15268.892409000002</v>
      </c>
      <c r="I193" s="54" t="s">
        <v>47</v>
      </c>
    </row>
    <row r="194" s="35" customFormat="1" ht="19.5">
      <c r="B194" s="36"/>
      <c r="C194" s="37"/>
      <c r="D194" s="37"/>
      <c r="E194" s="37"/>
      <c r="F194" s="82" t="s">
        <v>310</v>
      </c>
      <c r="G194" s="82"/>
      <c r="H194" s="39">
        <f>H195+H213+H226</f>
        <v>396587.68963896687</v>
      </c>
      <c r="I194" s="40"/>
    </row>
    <row r="195" ht="18.75">
      <c r="B195" s="83" t="s">
        <v>311</v>
      </c>
      <c r="C195" s="84" t="s">
        <v>312</v>
      </c>
      <c r="D195" s="85" t="s">
        <v>313</v>
      </c>
      <c r="E195" s="84" t="s">
        <v>314</v>
      </c>
      <c r="F195" s="45" t="s">
        <v>315</v>
      </c>
      <c r="G195" s="45"/>
      <c r="H195" s="46">
        <f>SUM(H196:H212)</f>
        <v>185624.30666066485</v>
      </c>
      <c r="I195" s="47"/>
    </row>
    <row r="196" ht="75">
      <c r="B196" s="86"/>
      <c r="C196" s="87"/>
      <c r="D196" s="88"/>
      <c r="E196" s="87"/>
      <c r="F196" s="75" t="s">
        <v>316</v>
      </c>
      <c r="G196" s="75" t="s">
        <v>317</v>
      </c>
      <c r="H196" s="53">
        <f>-7607.49598*0.9</f>
        <v>-6846.7463820000003</v>
      </c>
      <c r="I196" s="89" t="s">
        <v>26</v>
      </c>
      <c r="L196" s="34"/>
    </row>
    <row r="197" ht="37.5">
      <c r="B197" s="86"/>
      <c r="C197" s="87"/>
      <c r="D197" s="88"/>
      <c r="E197" s="87"/>
      <c r="F197" s="74" t="s">
        <v>318</v>
      </c>
      <c r="G197" s="75" t="s">
        <v>319</v>
      </c>
      <c r="H197" s="53">
        <v>26116.699460000003</v>
      </c>
      <c r="I197" s="89" t="s">
        <v>20</v>
      </c>
    </row>
    <row r="198" ht="135.75" customHeight="1">
      <c r="B198" s="86"/>
      <c r="C198" s="87"/>
      <c r="D198" s="88"/>
      <c r="E198" s="87"/>
      <c r="F198" s="77" t="s">
        <v>320</v>
      </c>
      <c r="G198" s="78" t="s">
        <v>321</v>
      </c>
      <c r="H198" s="53">
        <v>4509.0723500000004</v>
      </c>
      <c r="I198" s="89" t="s">
        <v>20</v>
      </c>
    </row>
    <row r="199" ht="29.25" customHeight="1">
      <c r="B199" s="86"/>
      <c r="C199" s="87"/>
      <c r="D199" s="88"/>
      <c r="E199" s="87"/>
      <c r="F199" s="78" t="s">
        <v>322</v>
      </c>
      <c r="G199" s="78" t="s">
        <v>323</v>
      </c>
      <c r="H199" s="53">
        <f>197.652*0.9</f>
        <v>177.88679999999999</v>
      </c>
      <c r="I199" s="89" t="s">
        <v>23</v>
      </c>
    </row>
    <row r="200" ht="18.75" customHeight="1">
      <c r="B200" s="86"/>
      <c r="C200" s="87"/>
      <c r="D200" s="88"/>
      <c r="E200" s="87"/>
      <c r="F200" s="80"/>
      <c r="G200" s="80"/>
      <c r="H200" s="53">
        <f>5575.59539*0.9</f>
        <v>5018.0358510000005</v>
      </c>
      <c r="I200" s="89" t="s">
        <v>26</v>
      </c>
    </row>
    <row r="201" ht="75">
      <c r="B201" s="86"/>
      <c r="C201" s="87"/>
      <c r="D201" s="88"/>
      <c r="E201" s="87"/>
      <c r="F201" s="75" t="s">
        <v>324</v>
      </c>
      <c r="G201" s="75" t="s">
        <v>325</v>
      </c>
      <c r="H201" s="53">
        <f>353.66478*0.9</f>
        <v>318.29830200000004</v>
      </c>
      <c r="I201" s="89" t="s">
        <v>326</v>
      </c>
    </row>
    <row r="202" ht="75" customHeight="1">
      <c r="B202" s="86"/>
      <c r="C202" s="87"/>
      <c r="D202" s="88"/>
      <c r="E202" s="87"/>
      <c r="F202" s="74" t="s">
        <v>327</v>
      </c>
      <c r="G202" s="75" t="s">
        <v>328</v>
      </c>
      <c r="H202" s="53">
        <v>38228.964589999996</v>
      </c>
      <c r="I202" s="89" t="s">
        <v>20</v>
      </c>
    </row>
    <row r="203" ht="37.5">
      <c r="B203" s="86"/>
      <c r="C203" s="87"/>
      <c r="D203" s="88"/>
      <c r="E203" s="87"/>
      <c r="F203" s="74" t="s">
        <v>329</v>
      </c>
      <c r="G203" s="75" t="s">
        <v>330</v>
      </c>
      <c r="H203" s="53">
        <v>373.40064000000007</v>
      </c>
      <c r="I203" s="89" t="s">
        <v>20</v>
      </c>
    </row>
    <row r="204" ht="37.5">
      <c r="B204" s="86"/>
      <c r="C204" s="87"/>
      <c r="D204" s="88"/>
      <c r="E204" s="87"/>
      <c r="F204" s="74" t="s">
        <v>331</v>
      </c>
      <c r="G204" s="75" t="s">
        <v>332</v>
      </c>
      <c r="H204" s="53">
        <v>10464.364160000001</v>
      </c>
      <c r="I204" s="89" t="s">
        <v>20</v>
      </c>
    </row>
    <row r="205" ht="37.5">
      <c r="B205" s="86"/>
      <c r="C205" s="87"/>
      <c r="D205" s="88"/>
      <c r="E205" s="87"/>
      <c r="F205" s="74" t="s">
        <v>333</v>
      </c>
      <c r="G205" s="75" t="s">
        <v>334</v>
      </c>
      <c r="H205" s="53">
        <v>184.5</v>
      </c>
      <c r="I205" s="89" t="s">
        <v>20</v>
      </c>
    </row>
    <row r="206" ht="37.5">
      <c r="B206" s="86"/>
      <c r="C206" s="87"/>
      <c r="D206" s="88"/>
      <c r="E206" s="87"/>
      <c r="F206" s="74" t="s">
        <v>335</v>
      </c>
      <c r="G206" s="75" t="s">
        <v>336</v>
      </c>
      <c r="H206" s="53">
        <v>41674.158967366689</v>
      </c>
      <c r="I206" s="89" t="s">
        <v>20</v>
      </c>
    </row>
    <row r="207" ht="37.5">
      <c r="B207" s="86"/>
      <c r="C207" s="87"/>
      <c r="D207" s="88"/>
      <c r="E207" s="87"/>
      <c r="F207" s="74" t="s">
        <v>337</v>
      </c>
      <c r="G207" s="75" t="s">
        <v>338</v>
      </c>
      <c r="H207" s="53">
        <v>414.89539833333299</v>
      </c>
      <c r="I207" s="89" t="s">
        <v>20</v>
      </c>
    </row>
    <row r="208" ht="93" customHeight="1">
      <c r="B208" s="86"/>
      <c r="C208" s="87"/>
      <c r="D208" s="88"/>
      <c r="E208" s="87"/>
      <c r="F208" s="74" t="s">
        <v>339</v>
      </c>
      <c r="G208" s="75" t="s">
        <v>340</v>
      </c>
      <c r="H208" s="53">
        <v>12964.815614964798</v>
      </c>
      <c r="I208" s="89" t="s">
        <v>20</v>
      </c>
    </row>
    <row r="209" ht="93" customHeight="1">
      <c r="B209" s="86"/>
      <c r="C209" s="87"/>
      <c r="D209" s="88"/>
      <c r="E209" s="87"/>
      <c r="F209" s="74" t="s">
        <v>341</v>
      </c>
      <c r="G209" s="75" t="s">
        <v>342</v>
      </c>
      <c r="H209" s="53">
        <v>34108.358500000002</v>
      </c>
      <c r="I209" s="89" t="s">
        <v>20</v>
      </c>
    </row>
    <row r="210" ht="75">
      <c r="B210" s="86"/>
      <c r="C210" s="87"/>
      <c r="D210" s="88"/>
      <c r="E210" s="87"/>
      <c r="F210" s="74" t="s">
        <v>343</v>
      </c>
      <c r="G210" s="75" t="s">
        <v>344</v>
      </c>
      <c r="H210" s="53">
        <v>43.389000000000003</v>
      </c>
      <c r="I210" s="89" t="s">
        <v>20</v>
      </c>
    </row>
    <row r="211" ht="18.75">
      <c r="B211" s="86"/>
      <c r="C211" s="87"/>
      <c r="D211" s="88"/>
      <c r="E211" s="87"/>
      <c r="F211" s="74" t="s">
        <v>345</v>
      </c>
      <c r="G211" s="75"/>
      <c r="H211" s="53">
        <v>3187.828</v>
      </c>
      <c r="I211" s="89" t="s">
        <v>20</v>
      </c>
    </row>
    <row r="212" ht="18.75">
      <c r="B212" s="86"/>
      <c r="C212" s="87"/>
      <c r="D212" s="88"/>
      <c r="E212" s="87"/>
      <c r="F212" s="74" t="s">
        <v>346</v>
      </c>
      <c r="G212" s="75"/>
      <c r="H212" s="90">
        <f>16318.20601*0.9</f>
        <v>14686.385409</v>
      </c>
      <c r="I212" s="91" t="s">
        <v>47</v>
      </c>
    </row>
    <row r="213" ht="18.75">
      <c r="B213" s="86"/>
      <c r="C213" s="87"/>
      <c r="D213" s="88"/>
      <c r="E213" s="87"/>
      <c r="F213" s="45" t="s">
        <v>347</v>
      </c>
      <c r="G213" s="45"/>
      <c r="H213" s="46">
        <f>H214+H215+H216+H217+H218+H219+H220+H221+H222+H223+H224+H225</f>
        <v>184478.84691800002</v>
      </c>
      <c r="I213" s="47"/>
      <c r="O213" s="23"/>
    </row>
    <row r="214" ht="18.75" customHeight="1">
      <c r="B214" s="86"/>
      <c r="C214" s="87"/>
      <c r="D214" s="88"/>
      <c r="E214" s="87"/>
      <c r="F214" s="77" t="s">
        <v>348</v>
      </c>
      <c r="G214" s="78" t="s">
        <v>349</v>
      </c>
      <c r="H214" s="92">
        <v>8678.4664199999988</v>
      </c>
      <c r="I214" s="93" t="s">
        <v>20</v>
      </c>
    </row>
    <row r="215" ht="18.75" customHeight="1">
      <c r="B215" s="86"/>
      <c r="C215" s="87"/>
      <c r="D215" s="88"/>
      <c r="E215" s="87"/>
      <c r="F215" s="80"/>
      <c r="G215" s="80"/>
      <c r="H215" s="92">
        <f>102632.15906*0.9</f>
        <v>92368.943154000008</v>
      </c>
      <c r="I215" s="93" t="s">
        <v>26</v>
      </c>
    </row>
    <row r="216" ht="37.5">
      <c r="B216" s="86"/>
      <c r="C216" s="87"/>
      <c r="D216" s="88"/>
      <c r="E216" s="87"/>
      <c r="F216" s="74" t="s">
        <v>350</v>
      </c>
      <c r="G216" s="75" t="s">
        <v>351</v>
      </c>
      <c r="H216" s="92">
        <v>-376.89175999999918</v>
      </c>
      <c r="I216" s="93" t="s">
        <v>20</v>
      </c>
    </row>
    <row r="217" ht="33.75" customHeight="1">
      <c r="B217" s="86"/>
      <c r="C217" s="87"/>
      <c r="D217" s="88"/>
      <c r="E217" s="87"/>
      <c r="F217" s="77" t="s">
        <v>352</v>
      </c>
      <c r="G217" s="78" t="s">
        <v>353</v>
      </c>
      <c r="H217" s="92">
        <v>1318.1134000000002</v>
      </c>
      <c r="I217" s="93" t="s">
        <v>20</v>
      </c>
    </row>
    <row r="218" ht="33.75" customHeight="1">
      <c r="B218" s="86"/>
      <c r="C218" s="87"/>
      <c r="D218" s="88"/>
      <c r="E218" s="87"/>
      <c r="F218" s="80"/>
      <c r="G218" s="80"/>
      <c r="H218" s="92">
        <f>36611.38884*0.9</f>
        <v>32950.249956</v>
      </c>
      <c r="I218" s="93" t="s">
        <v>26</v>
      </c>
    </row>
    <row r="219" ht="37.5" customHeight="1">
      <c r="B219" s="86"/>
      <c r="C219" s="87"/>
      <c r="D219" s="88"/>
      <c r="E219" s="87"/>
      <c r="F219" s="77" t="s">
        <v>354</v>
      </c>
      <c r="G219" s="78" t="s">
        <v>355</v>
      </c>
      <c r="H219" s="92">
        <v>1.14585</v>
      </c>
      <c r="I219" s="93" t="s">
        <v>20</v>
      </c>
    </row>
    <row r="220" ht="18.75" customHeight="1">
      <c r="B220" s="86"/>
      <c r="C220" s="87"/>
      <c r="D220" s="88"/>
      <c r="E220" s="87"/>
      <c r="F220" s="94"/>
      <c r="G220" s="94"/>
      <c r="H220" s="92">
        <f>25139.50973*0.9</f>
        <v>22625.558757000003</v>
      </c>
      <c r="I220" s="93" t="s">
        <v>26</v>
      </c>
    </row>
    <row r="221" ht="18.75" customHeight="1">
      <c r="B221" s="86"/>
      <c r="C221" s="87"/>
      <c r="D221" s="88"/>
      <c r="E221" s="87"/>
      <c r="F221" s="80"/>
      <c r="G221" s="80"/>
      <c r="H221" s="92">
        <f>7851.1652*0.9</f>
        <v>7066.0486800000008</v>
      </c>
      <c r="I221" s="93" t="s">
        <v>23</v>
      </c>
    </row>
    <row r="222" ht="112.5">
      <c r="B222" s="86"/>
      <c r="C222" s="87"/>
      <c r="D222" s="88"/>
      <c r="E222" s="87"/>
      <c r="F222" s="74" t="s">
        <v>356</v>
      </c>
      <c r="G222" s="75" t="s">
        <v>357</v>
      </c>
      <c r="H222" s="92">
        <v>11663.92131</v>
      </c>
      <c r="I222" s="93" t="s">
        <v>20</v>
      </c>
    </row>
    <row r="223" ht="37.5">
      <c r="B223" s="86"/>
      <c r="C223" s="87"/>
      <c r="D223" s="88"/>
      <c r="E223" s="87"/>
      <c r="F223" s="74" t="s">
        <v>358</v>
      </c>
      <c r="G223" s="75" t="s">
        <v>359</v>
      </c>
      <c r="H223" s="92">
        <v>624.52249000000006</v>
      </c>
      <c r="I223" s="93" t="s">
        <v>20</v>
      </c>
    </row>
    <row r="224" ht="18.75" customHeight="1">
      <c r="B224" s="86"/>
      <c r="C224" s="87"/>
      <c r="D224" s="88"/>
      <c r="E224" s="87"/>
      <c r="F224" s="74" t="s">
        <v>360</v>
      </c>
      <c r="G224" s="95"/>
      <c r="H224" s="92">
        <v>4081.0615520000006</v>
      </c>
      <c r="I224" s="93" t="s">
        <v>20</v>
      </c>
    </row>
    <row r="225" ht="18.75">
      <c r="B225" s="86"/>
      <c r="C225" s="87"/>
      <c r="D225" s="88"/>
      <c r="E225" s="87"/>
      <c r="F225" s="96" t="s">
        <v>361</v>
      </c>
      <c r="G225" s="80"/>
      <c r="H225" s="92">
        <f>3864.11901*0.9</f>
        <v>3477.7071089999999</v>
      </c>
      <c r="I225" s="97" t="s">
        <v>47</v>
      </c>
    </row>
    <row r="226" ht="18.75">
      <c r="B226" s="86"/>
      <c r="C226" s="87"/>
      <c r="D226" s="88"/>
      <c r="E226" s="87"/>
      <c r="F226" s="45" t="s">
        <v>362</v>
      </c>
      <c r="G226" s="45"/>
      <c r="H226" s="46">
        <f>SUM(H227:H234)</f>
        <v>26484.536060302002</v>
      </c>
      <c r="I226" s="47"/>
    </row>
    <row r="227" ht="37.5">
      <c r="B227" s="86"/>
      <c r="C227" s="87"/>
      <c r="D227" s="88"/>
      <c r="E227" s="87"/>
      <c r="F227" s="96" t="s">
        <v>363</v>
      </c>
      <c r="G227" s="80" t="s">
        <v>364</v>
      </c>
      <c r="H227" s="90">
        <v>12007.790367850668</v>
      </c>
      <c r="I227" s="91" t="s">
        <v>20</v>
      </c>
    </row>
    <row r="228" ht="18.75">
      <c r="B228" s="86"/>
      <c r="C228" s="87"/>
      <c r="D228" s="88"/>
      <c r="E228" s="87"/>
      <c r="F228" s="96" t="s">
        <v>365</v>
      </c>
      <c r="G228" s="80" t="s">
        <v>366</v>
      </c>
      <c r="H228" s="90">
        <v>323.90537840799971</v>
      </c>
      <c r="I228" s="91" t="s">
        <v>20</v>
      </c>
    </row>
    <row r="229" ht="71.25" customHeight="1">
      <c r="B229" s="86"/>
      <c r="C229" s="87"/>
      <c r="D229" s="88"/>
      <c r="E229" s="87"/>
      <c r="F229" s="96" t="s">
        <v>367</v>
      </c>
      <c r="G229" s="80" t="s">
        <v>368</v>
      </c>
      <c r="H229" s="90">
        <v>61.234711895999936</v>
      </c>
      <c r="I229" s="91" t="s">
        <v>20</v>
      </c>
    </row>
    <row r="230" ht="71.25" customHeight="1">
      <c r="B230" s="86"/>
      <c r="C230" s="87"/>
      <c r="D230" s="88"/>
      <c r="E230" s="87"/>
      <c r="F230" s="96" t="s">
        <v>369</v>
      </c>
      <c r="G230" s="80" t="s">
        <v>370</v>
      </c>
      <c r="H230" s="90">
        <v>-2615.80593</v>
      </c>
      <c r="I230" s="91" t="s">
        <v>20</v>
      </c>
    </row>
    <row r="231" ht="37.5">
      <c r="B231" s="86"/>
      <c r="C231" s="87"/>
      <c r="D231" s="88"/>
      <c r="E231" s="87"/>
      <c r="F231" s="96" t="s">
        <v>371</v>
      </c>
      <c r="G231" s="80" t="s">
        <v>372</v>
      </c>
      <c r="H231" s="90">
        <v>572.9295833333332</v>
      </c>
      <c r="I231" s="91" t="s">
        <v>20</v>
      </c>
    </row>
    <row r="232" ht="56.25">
      <c r="B232" s="86"/>
      <c r="C232" s="87"/>
      <c r="D232" s="88"/>
      <c r="E232" s="87"/>
      <c r="F232" s="96" t="s">
        <v>373</v>
      </c>
      <c r="G232" s="80" t="s">
        <v>374</v>
      </c>
      <c r="H232" s="90">
        <v>428.21113999999994</v>
      </c>
      <c r="I232" s="91" t="s">
        <v>20</v>
      </c>
    </row>
    <row r="233" ht="18.75">
      <c r="B233" s="86"/>
      <c r="C233" s="87"/>
      <c r="D233" s="88"/>
      <c r="E233" s="87"/>
      <c r="F233" s="74" t="s">
        <v>345</v>
      </c>
      <c r="G233" s="75"/>
      <c r="H233" s="53">
        <v>12504.238249595999</v>
      </c>
      <c r="I233" s="89" t="s">
        <v>20</v>
      </c>
    </row>
    <row r="234" ht="19.5">
      <c r="B234" s="98"/>
      <c r="C234" s="99"/>
      <c r="D234" s="100"/>
      <c r="E234" s="99"/>
      <c r="F234" s="75" t="s">
        <v>346</v>
      </c>
      <c r="G234" s="75"/>
      <c r="H234" s="53">
        <f>3715.51701*0.8618</f>
        <v>3202.0325592180002</v>
      </c>
      <c r="I234" s="89" t="s">
        <v>47</v>
      </c>
    </row>
    <row r="235" s="35" customFormat="1" ht="19.5">
      <c r="B235" s="36"/>
      <c r="C235" s="37"/>
      <c r="D235" s="37"/>
      <c r="E235" s="37"/>
      <c r="F235" s="38" t="s">
        <v>375</v>
      </c>
      <c r="G235" s="38"/>
      <c r="H235" s="39">
        <f>H236</f>
        <v>1093617.0937306071</v>
      </c>
      <c r="I235" s="101"/>
    </row>
    <row r="236" ht="18.75">
      <c r="B236" s="42" t="s">
        <v>376</v>
      </c>
      <c r="C236" s="102">
        <v>45866</v>
      </c>
      <c r="D236" s="44" t="s">
        <v>377</v>
      </c>
      <c r="E236" s="43" t="s">
        <v>378</v>
      </c>
      <c r="F236" s="103" t="s">
        <v>379</v>
      </c>
      <c r="G236" s="103"/>
      <c r="H236" s="104">
        <f>SUM(H237:H265)</f>
        <v>1093617.0937306071</v>
      </c>
      <c r="I236" s="105"/>
    </row>
    <row r="237" ht="37.5">
      <c r="B237" s="48"/>
      <c r="C237" s="50"/>
      <c r="D237" s="50"/>
      <c r="E237" s="49"/>
      <c r="F237" s="74" t="s">
        <v>380</v>
      </c>
      <c r="G237" s="75" t="s">
        <v>381</v>
      </c>
      <c r="H237" s="106">
        <v>2763.1382387500007</v>
      </c>
      <c r="I237" s="54" t="s">
        <v>20</v>
      </c>
    </row>
    <row r="238" ht="18.75" customHeight="1">
      <c r="B238" s="48"/>
      <c r="C238" s="50"/>
      <c r="D238" s="50"/>
      <c r="E238" s="49"/>
      <c r="F238" s="77" t="s">
        <v>382</v>
      </c>
      <c r="G238" s="78" t="s">
        <v>383</v>
      </c>
      <c r="H238" s="106">
        <v>158725.99449950003</v>
      </c>
      <c r="I238" s="54" t="s">
        <v>20</v>
      </c>
    </row>
    <row r="239" ht="18.75" customHeight="1">
      <c r="B239" s="48"/>
      <c r="C239" s="50"/>
      <c r="D239" s="50"/>
      <c r="E239" s="49"/>
      <c r="F239" s="80"/>
      <c r="G239" s="80"/>
      <c r="H239" s="106">
        <f>423008.28811*0.85</f>
        <v>359557.04489349999</v>
      </c>
      <c r="I239" s="54" t="s">
        <v>26</v>
      </c>
    </row>
    <row r="240" ht="56.25">
      <c r="B240" s="48"/>
      <c r="C240" s="50"/>
      <c r="D240" s="50"/>
      <c r="E240" s="49"/>
      <c r="F240" s="96" t="s">
        <v>384</v>
      </c>
      <c r="G240" s="80" t="s">
        <v>385</v>
      </c>
      <c r="H240" s="106">
        <v>19608.789102499999</v>
      </c>
      <c r="I240" s="54" t="s">
        <v>20</v>
      </c>
    </row>
    <row r="241" ht="37.5">
      <c r="B241" s="48"/>
      <c r="C241" s="50"/>
      <c r="D241" s="50"/>
      <c r="E241" s="49"/>
      <c r="F241" s="80" t="s">
        <v>386</v>
      </c>
      <c r="G241" s="80" t="s">
        <v>387</v>
      </c>
      <c r="H241" s="106">
        <f>1774.97826*0.85</f>
        <v>1508.7315209999999</v>
      </c>
      <c r="I241" s="54" t="s">
        <v>26</v>
      </c>
    </row>
    <row r="242" ht="30.75" customHeight="1">
      <c r="B242" s="48"/>
      <c r="C242" s="50"/>
      <c r="D242" s="50"/>
      <c r="E242" s="49"/>
      <c r="F242" s="77" t="s">
        <v>388</v>
      </c>
      <c r="G242" s="77" t="s">
        <v>389</v>
      </c>
      <c r="H242" s="106">
        <v>128709.81978000001</v>
      </c>
      <c r="I242" s="54" t="s">
        <v>20</v>
      </c>
    </row>
    <row r="243" ht="36" customHeight="1">
      <c r="B243" s="48"/>
      <c r="C243" s="50"/>
      <c r="D243" s="50"/>
      <c r="E243" s="49"/>
      <c r="F243" s="96"/>
      <c r="G243" s="96"/>
      <c r="H243" s="106">
        <f>12248.40002*0.85</f>
        <v>10411.140017</v>
      </c>
      <c r="I243" s="54" t="s">
        <v>26</v>
      </c>
    </row>
    <row r="244" ht="36" customHeight="1">
      <c r="B244" s="48"/>
      <c r="C244" s="50"/>
      <c r="D244" s="50"/>
      <c r="E244" s="49"/>
      <c r="F244" s="77" t="s">
        <v>390</v>
      </c>
      <c r="G244" s="77" t="s">
        <v>391</v>
      </c>
      <c r="H244" s="106">
        <v>11237.619758750001</v>
      </c>
      <c r="I244" s="54" t="s">
        <v>20</v>
      </c>
    </row>
    <row r="245" ht="28.5" customHeight="1">
      <c r="B245" s="48"/>
      <c r="C245" s="50"/>
      <c r="D245" s="50"/>
      <c r="E245" s="49"/>
      <c r="F245" s="96"/>
      <c r="G245" s="96"/>
      <c r="H245" s="106">
        <f>-11576.40002*0.85</f>
        <v>-9839.940016999999</v>
      </c>
      <c r="I245" s="54" t="s">
        <v>26</v>
      </c>
    </row>
    <row r="246" ht="28.5" customHeight="1">
      <c r="B246" s="48"/>
      <c r="C246" s="50"/>
      <c r="D246" s="50"/>
      <c r="E246" s="49"/>
      <c r="F246" s="77" t="s">
        <v>392</v>
      </c>
      <c r="G246" s="79" t="s">
        <v>393</v>
      </c>
      <c r="H246" s="106">
        <v>81415.665410000001</v>
      </c>
      <c r="I246" s="54" t="s">
        <v>20</v>
      </c>
    </row>
    <row r="247" ht="37.5" customHeight="1">
      <c r="B247" s="48"/>
      <c r="C247" s="50"/>
      <c r="D247" s="50"/>
      <c r="E247" s="49"/>
      <c r="F247" s="107"/>
      <c r="G247" s="107"/>
      <c r="H247" s="106">
        <f>0.00002*0.85</f>
        <v>1.7e-05</v>
      </c>
      <c r="I247" s="54" t="s">
        <v>26</v>
      </c>
    </row>
    <row r="248" ht="37.5" customHeight="1">
      <c r="B248" s="48"/>
      <c r="C248" s="50"/>
      <c r="D248" s="50"/>
      <c r="E248" s="49"/>
      <c r="F248" s="74" t="s">
        <v>394</v>
      </c>
      <c r="G248" s="74" t="s">
        <v>395</v>
      </c>
      <c r="H248" s="106">
        <v>77729.938993606949</v>
      </c>
      <c r="I248" s="54" t="s">
        <v>20</v>
      </c>
    </row>
    <row r="249" ht="33" customHeight="1">
      <c r="B249" s="48"/>
      <c r="C249" s="50"/>
      <c r="D249" s="50"/>
      <c r="E249" s="49"/>
      <c r="F249" s="74"/>
      <c r="G249" s="74"/>
      <c r="H249" s="106">
        <f>-672.00002*0.85</f>
        <v>-571.20001699999989</v>
      </c>
      <c r="I249" s="54" t="s">
        <v>26</v>
      </c>
    </row>
    <row r="250" ht="54" customHeight="1">
      <c r="B250" s="48"/>
      <c r="C250" s="50"/>
      <c r="D250" s="50"/>
      <c r="E250" s="49"/>
      <c r="F250" s="96" t="s">
        <v>396</v>
      </c>
      <c r="G250" s="96" t="s">
        <v>397</v>
      </c>
      <c r="H250" s="106">
        <f>5547.78*0.85</f>
        <v>4715.6129999999994</v>
      </c>
      <c r="I250" s="54" t="s">
        <v>26</v>
      </c>
    </row>
    <row r="251" ht="37.5">
      <c r="B251" s="48"/>
      <c r="C251" s="50"/>
      <c r="D251" s="50"/>
      <c r="E251" s="49"/>
      <c r="F251" s="96" t="s">
        <v>398</v>
      </c>
      <c r="G251" s="80" t="s">
        <v>399</v>
      </c>
      <c r="H251" s="106">
        <v>27354.615629999997</v>
      </c>
      <c r="I251" s="54" t="s">
        <v>20</v>
      </c>
    </row>
    <row r="252" ht="33" customHeight="1">
      <c r="B252" s="48"/>
      <c r="C252" s="50"/>
      <c r="D252" s="50"/>
      <c r="E252" s="49"/>
      <c r="F252" s="96" t="s">
        <v>400</v>
      </c>
      <c r="G252" s="80" t="s">
        <v>401</v>
      </c>
      <c r="H252" s="106">
        <v>597.38499999999999</v>
      </c>
      <c r="I252" s="54" t="s">
        <v>20</v>
      </c>
    </row>
    <row r="253" ht="37.5">
      <c r="B253" s="48"/>
      <c r="C253" s="50"/>
      <c r="D253" s="50"/>
      <c r="E253" s="49"/>
      <c r="F253" s="96" t="s">
        <v>402</v>
      </c>
      <c r="G253" s="80" t="s">
        <v>403</v>
      </c>
      <c r="H253" s="106">
        <v>14890.97883125</v>
      </c>
      <c r="I253" s="54" t="s">
        <v>20</v>
      </c>
    </row>
    <row r="254" ht="37.5">
      <c r="B254" s="48"/>
      <c r="C254" s="50"/>
      <c r="D254" s="50"/>
      <c r="E254" s="49"/>
      <c r="F254" s="96" t="s">
        <v>404</v>
      </c>
      <c r="G254" s="80" t="s">
        <v>405</v>
      </c>
      <c r="H254" s="106">
        <v>1145.9271515</v>
      </c>
      <c r="I254" s="54" t="s">
        <v>20</v>
      </c>
    </row>
    <row r="255" ht="37.5">
      <c r="B255" s="48"/>
      <c r="C255" s="50"/>
      <c r="D255" s="50"/>
      <c r="E255" s="49"/>
      <c r="F255" s="80" t="s">
        <v>406</v>
      </c>
      <c r="G255" s="80" t="s">
        <v>407</v>
      </c>
      <c r="H255" s="106">
        <f>2260.87408*0.85</f>
        <v>1921.742968</v>
      </c>
      <c r="I255" s="54" t="s">
        <v>408</v>
      </c>
    </row>
    <row r="256" ht="43.5" customHeight="1">
      <c r="B256" s="48"/>
      <c r="C256" s="50"/>
      <c r="D256" s="50"/>
      <c r="E256" s="49"/>
      <c r="F256" s="80" t="s">
        <v>409</v>
      </c>
      <c r="G256" s="80" t="s">
        <v>410</v>
      </c>
      <c r="H256" s="106">
        <f>395.56368*0.85</f>
        <v>336.22912799999995</v>
      </c>
      <c r="I256" s="54" t="s">
        <v>26</v>
      </c>
    </row>
    <row r="257" ht="34.5" customHeight="1">
      <c r="B257" s="48"/>
      <c r="C257" s="50"/>
      <c r="D257" s="50"/>
      <c r="E257" s="49"/>
      <c r="F257" s="96" t="s">
        <v>411</v>
      </c>
      <c r="G257" s="80" t="s">
        <v>412</v>
      </c>
      <c r="H257" s="106">
        <v>4085.0617500000003</v>
      </c>
      <c r="I257" s="54" t="s">
        <v>20</v>
      </c>
    </row>
    <row r="258" ht="56.25">
      <c r="B258" s="48"/>
      <c r="C258" s="50"/>
      <c r="D258" s="50"/>
      <c r="E258" s="49"/>
      <c r="F258" s="96" t="s">
        <v>413</v>
      </c>
      <c r="G258" s="80" t="s">
        <v>414</v>
      </c>
      <c r="H258" s="106">
        <v>1538.15625</v>
      </c>
      <c r="I258" s="54" t="s">
        <v>20</v>
      </c>
    </row>
    <row r="259" ht="39" customHeight="1">
      <c r="B259" s="48"/>
      <c r="C259" s="50"/>
      <c r="D259" s="50"/>
      <c r="E259" s="49"/>
      <c r="F259" s="77" t="s">
        <v>415</v>
      </c>
      <c r="G259" s="78" t="s">
        <v>416</v>
      </c>
      <c r="H259" s="106">
        <v>182.52375000000001</v>
      </c>
      <c r="I259" s="54" t="s">
        <v>20</v>
      </c>
    </row>
    <row r="260" ht="43.5" customHeight="1">
      <c r="B260" s="48"/>
      <c r="C260" s="50"/>
      <c r="D260" s="50"/>
      <c r="E260" s="49"/>
      <c r="F260" s="80"/>
      <c r="G260" s="80"/>
      <c r="H260" s="106">
        <f>9046.0176*0.85</f>
        <v>7689.114959999999</v>
      </c>
      <c r="I260" s="54" t="s">
        <v>417</v>
      </c>
    </row>
    <row r="261" ht="18.75">
      <c r="B261" s="48"/>
      <c r="C261" s="50"/>
      <c r="D261" s="50"/>
      <c r="E261" s="49"/>
      <c r="F261" s="96" t="s">
        <v>418</v>
      </c>
      <c r="G261" s="80" t="s">
        <v>419</v>
      </c>
      <c r="H261" s="106">
        <v>249.98194799999999</v>
      </c>
      <c r="I261" s="54" t="s">
        <v>20</v>
      </c>
    </row>
    <row r="262" ht="18.75">
      <c r="B262" s="48"/>
      <c r="C262" s="50"/>
      <c r="D262" s="50"/>
      <c r="E262" s="49"/>
      <c r="F262" s="96" t="s">
        <v>420</v>
      </c>
      <c r="G262" s="80" t="s">
        <v>421</v>
      </c>
      <c r="H262" s="106">
        <v>-178.44642999999996</v>
      </c>
      <c r="I262" s="54" t="s">
        <v>20</v>
      </c>
    </row>
    <row r="263" ht="18.75" customHeight="1">
      <c r="B263" s="48"/>
      <c r="C263" s="50"/>
      <c r="D263" s="50"/>
      <c r="E263" s="49"/>
      <c r="F263" s="77" t="s">
        <v>422</v>
      </c>
      <c r="G263" s="79"/>
      <c r="H263" s="106">
        <v>164135.03762275001</v>
      </c>
      <c r="I263" s="54" t="s">
        <v>20</v>
      </c>
    </row>
    <row r="264" ht="18.75" customHeight="1">
      <c r="B264" s="48"/>
      <c r="C264" s="50"/>
      <c r="D264" s="50"/>
      <c r="E264" s="49"/>
      <c r="F264" s="94"/>
      <c r="G264" s="108"/>
      <c r="H264" s="109">
        <f>4955.66667*0.85</f>
        <v>4212.3166695</v>
      </c>
      <c r="I264" s="110" t="s">
        <v>93</v>
      </c>
    </row>
    <row r="265" ht="19.5">
      <c r="B265" s="48"/>
      <c r="C265" s="50"/>
      <c r="D265" s="50"/>
      <c r="E265" s="49"/>
      <c r="F265" s="75" t="s">
        <v>423</v>
      </c>
      <c r="G265" s="75"/>
      <c r="H265" s="109">
        <f>22922.4862399999*0.85</f>
        <v>19484.113303999915</v>
      </c>
      <c r="I265" s="111" t="s">
        <v>47</v>
      </c>
    </row>
    <row r="266" ht="21.75" customHeight="1">
      <c r="B266" s="112" t="s">
        <v>424</v>
      </c>
      <c r="C266" s="113"/>
      <c r="D266" s="113"/>
      <c r="E266" s="114"/>
      <c r="F266" s="115" t="s">
        <v>20</v>
      </c>
      <c r="G266" s="115"/>
      <c r="H266" s="116">
        <f>SUMIF(I14:I265,"Амортизация",H14:H265)</f>
        <v>5204207.556552643</v>
      </c>
      <c r="I266" s="117"/>
    </row>
    <row r="267" ht="21.75" customHeight="1">
      <c r="B267" s="118"/>
      <c r="C267" s="119"/>
      <c r="D267" s="119"/>
      <c r="E267" s="120"/>
      <c r="F267" s="115" t="s">
        <v>26</v>
      </c>
      <c r="G267" s="115"/>
      <c r="H267" s="116">
        <f>SUMIF(I14:I265,"Займ РусГидро",H14:H265)</f>
        <v>4520788.9030615008</v>
      </c>
      <c r="I267" s="117"/>
    </row>
    <row r="268" ht="21.75" customHeight="1">
      <c r="B268" s="118"/>
      <c r="C268" s="119"/>
      <c r="D268" s="119"/>
      <c r="E268" s="120"/>
      <c r="F268" s="115" t="s">
        <v>417</v>
      </c>
      <c r="G268" s="115"/>
      <c r="H268" s="116">
        <f>SUMIF(I15:I266,"Кредит",H15:H266)</f>
        <v>7689.114959999999</v>
      </c>
      <c r="I268" s="117"/>
    </row>
    <row r="269" ht="21.75" customHeight="1">
      <c r="B269" s="118"/>
      <c r="C269" s="119"/>
      <c r="D269" s="119"/>
      <c r="E269" s="120"/>
      <c r="F269" s="115" t="s">
        <v>408</v>
      </c>
      <c r="G269" s="115"/>
      <c r="H269" s="116">
        <f>SUMIF(I14:I265,"Средства от компенсации (ФСК)",H14:H265)</f>
        <v>1921.742968</v>
      </c>
      <c r="I269" s="117"/>
    </row>
    <row r="270" ht="21.75" customHeight="1">
      <c r="B270" s="118"/>
      <c r="C270" s="119"/>
      <c r="D270" s="119"/>
      <c r="E270" s="120"/>
      <c r="F270" s="115" t="s">
        <v>93</v>
      </c>
      <c r="G270" s="115"/>
      <c r="H270" s="116">
        <f>SUMIF(I13:I265,"Средства от реализации активов",H13:H265)</f>
        <v>56361.130636500005</v>
      </c>
      <c r="I270" s="117"/>
    </row>
    <row r="271" ht="21.75" customHeight="1">
      <c r="B271" s="118"/>
      <c r="C271" s="119"/>
      <c r="D271" s="119"/>
      <c r="E271" s="120"/>
      <c r="F271" s="115" t="s">
        <v>47</v>
      </c>
      <c r="G271" s="115"/>
      <c r="H271" s="116">
        <f>SUMIF(I13:I265,"Выручка по себестоимости",H13:H265)</f>
        <v>185566.22092921793</v>
      </c>
      <c r="I271" s="117"/>
    </row>
    <row r="272" ht="21.75" customHeight="1">
      <c r="B272" s="118"/>
      <c r="C272" s="119"/>
      <c r="D272" s="119"/>
      <c r="E272" s="120"/>
      <c r="F272" s="115" t="s">
        <v>326</v>
      </c>
      <c r="G272" s="115"/>
      <c r="H272" s="116">
        <f>SUMIF(I11:I262,"Средства от компенсации расходов",H11:H262)</f>
        <v>318.29830200000004</v>
      </c>
      <c r="I272" s="117"/>
    </row>
    <row r="273" ht="21.75" customHeight="1">
      <c r="B273" s="118"/>
      <c r="C273" s="119"/>
      <c r="D273" s="119"/>
      <c r="E273" s="120"/>
      <c r="F273" s="115" t="s">
        <v>23</v>
      </c>
      <c r="G273" s="115"/>
      <c r="H273" s="116">
        <f>SUMIF(I12:I263,"Возвратный НДС",H12:H263)</f>
        <v>906860.58082000003</v>
      </c>
      <c r="I273" s="117"/>
    </row>
    <row r="274" ht="21.75" customHeight="1">
      <c r="B274" s="118"/>
      <c r="C274" s="119"/>
      <c r="D274" s="119"/>
      <c r="E274" s="120"/>
      <c r="F274" s="115" t="s">
        <v>57</v>
      </c>
      <c r="G274" s="115"/>
      <c r="H274" s="116">
        <f>SUMIF(I13:I264,"Доход от претензионно-исковой работы",H13:H264)</f>
        <v>4870.5</v>
      </c>
      <c r="I274" s="117"/>
    </row>
    <row r="275" ht="21.75" customHeight="1">
      <c r="B275" s="118"/>
      <c r="C275" s="119"/>
      <c r="D275" s="119"/>
      <c r="E275" s="120"/>
      <c r="F275" s="115" t="s">
        <v>58</v>
      </c>
      <c r="G275" s="115"/>
      <c r="H275" s="116">
        <f>SUMIF(I14:I265,"Экономия от закупок по статье Топливо",H14:H265)</f>
        <v>127500</v>
      </c>
      <c r="I275" s="117"/>
    </row>
    <row r="276" ht="21.75" customHeight="1">
      <c r="B276" s="118"/>
      <c r="C276" s="119"/>
      <c r="D276" s="119"/>
      <c r="E276" s="120"/>
      <c r="F276" s="115" t="s">
        <v>79</v>
      </c>
      <c r="G276" s="115"/>
      <c r="H276" s="116">
        <f>SUMIF(I15:I266,"Дивиденды",H15:H266)</f>
        <v>898965.85655099992</v>
      </c>
      <c r="I276" s="117"/>
    </row>
    <row r="277" ht="21.75" customHeight="1">
      <c r="B277" s="118"/>
      <c r="C277" s="119"/>
      <c r="D277" s="119"/>
      <c r="E277" s="120"/>
      <c r="F277" s="115" t="s">
        <v>197</v>
      </c>
      <c r="G277" s="115"/>
      <c r="H277" s="116">
        <f>SUMIF(I16:I267,"Инвестиционная составляющая",H16:H267)</f>
        <v>105898.119227</v>
      </c>
      <c r="I277" s="117"/>
    </row>
    <row r="278" ht="21.75" customHeight="1">
      <c r="B278" s="118"/>
      <c r="C278" s="119"/>
      <c r="D278" s="119"/>
      <c r="E278" s="120"/>
      <c r="F278" s="115" t="s">
        <v>425</v>
      </c>
      <c r="G278" s="115"/>
      <c r="H278" s="116">
        <f>SUMIF(I17:I267,"Экономия по торгам,от закупок",H17:H267)</f>
        <v>0</v>
      </c>
      <c r="I278" s="117"/>
    </row>
    <row r="279" ht="21.75" customHeight="1">
      <c r="B279" s="118"/>
      <c r="C279" s="119"/>
      <c r="D279" s="119"/>
      <c r="E279" s="120"/>
      <c r="F279" s="115" t="s">
        <v>426</v>
      </c>
      <c r="G279" s="115"/>
      <c r="H279" s="116">
        <f>SUMIF(I24:I275,"Повышающий коэффициент",H24:H275)</f>
        <v>0</v>
      </c>
      <c r="I279" s="117"/>
    </row>
    <row r="280" ht="21.75" customHeight="1">
      <c r="B280" s="118"/>
      <c r="C280" s="119"/>
      <c r="D280" s="119"/>
      <c r="E280" s="120"/>
      <c r="F280" s="115" t="s">
        <v>427</v>
      </c>
      <c r="G280" s="115"/>
      <c r="H280" s="116">
        <f>SUMIF(I14:I267,"Возмещение по страх.случаю",H14:H267)</f>
        <v>0</v>
      </c>
      <c r="I280" s="121"/>
    </row>
    <row r="281" ht="24">
      <c r="B281" s="122"/>
      <c r="C281" s="123"/>
      <c r="D281" s="123"/>
      <c r="E281" s="124"/>
      <c r="F281" s="115" t="s">
        <v>428</v>
      </c>
      <c r="G281" s="115"/>
      <c r="H281" s="116">
        <f>SUMIF(I14:I267,"Предпринимательская прибыль",H14:H267)</f>
        <v>0</v>
      </c>
      <c r="I281" s="121"/>
    </row>
    <row r="282" ht="48.75" customHeight="1">
      <c r="B282" s="125"/>
      <c r="C282" s="125"/>
      <c r="D282" s="125"/>
      <c r="E282" s="125"/>
      <c r="F282" s="125"/>
      <c r="G282" s="125"/>
      <c r="H282" s="125"/>
      <c r="I282" s="125"/>
    </row>
    <row r="283" ht="23.25">
      <c r="B283" s="126"/>
    </row>
    <row r="285">
      <c r="I285" s="34"/>
    </row>
    <row r="286">
      <c r="I286" s="34"/>
    </row>
    <row r="287">
      <c r="I287" s="34"/>
    </row>
  </sheetData>
  <autoFilter ref="B9:I281"/>
  <mergeCells count="98">
    <mergeCell ref="B2:I2"/>
    <mergeCell ref="B5:I5"/>
    <mergeCell ref="B6:B9"/>
    <mergeCell ref="C6:C9"/>
    <mergeCell ref="D6:D9"/>
    <mergeCell ref="E6:E9"/>
    <mergeCell ref="F6:I6"/>
    <mergeCell ref="F7:F9"/>
    <mergeCell ref="H7:H9"/>
    <mergeCell ref="I7:I9"/>
    <mergeCell ref="B13:B154"/>
    <mergeCell ref="C13:C154"/>
    <mergeCell ref="D13:D154"/>
    <mergeCell ref="E13:E154"/>
    <mergeCell ref="F32:F33"/>
    <mergeCell ref="G32:G33"/>
    <mergeCell ref="F35:F36"/>
    <mergeCell ref="G35:G36"/>
    <mergeCell ref="F38:F40"/>
    <mergeCell ref="G38:G40"/>
    <mergeCell ref="F42:F43"/>
    <mergeCell ref="G42:G43"/>
    <mergeCell ref="F46:F47"/>
    <mergeCell ref="G46:G47"/>
    <mergeCell ref="F48:F51"/>
    <mergeCell ref="G48:G51"/>
    <mergeCell ref="F52:F53"/>
    <mergeCell ref="G52:G53"/>
    <mergeCell ref="F54:F55"/>
    <mergeCell ref="G54:G55"/>
    <mergeCell ref="F58:F59"/>
    <mergeCell ref="G58:G59"/>
    <mergeCell ref="F61:F62"/>
    <mergeCell ref="G61:G62"/>
    <mergeCell ref="F71:F72"/>
    <mergeCell ref="G71:G72"/>
    <mergeCell ref="F79:F80"/>
    <mergeCell ref="G79:G80"/>
    <mergeCell ref="F83:F84"/>
    <mergeCell ref="G83:G84"/>
    <mergeCell ref="F87:F88"/>
    <mergeCell ref="G87:G88"/>
    <mergeCell ref="F89:F90"/>
    <mergeCell ref="G89:G90"/>
    <mergeCell ref="F92:F93"/>
    <mergeCell ref="G92:G93"/>
    <mergeCell ref="F94:F95"/>
    <mergeCell ref="G94:G95"/>
    <mergeCell ref="F96:F97"/>
    <mergeCell ref="G96:G97"/>
    <mergeCell ref="F103:F104"/>
    <mergeCell ref="G103:G104"/>
    <mergeCell ref="F114:F115"/>
    <mergeCell ref="G114:G115"/>
    <mergeCell ref="F121:F122"/>
    <mergeCell ref="G121:G122"/>
    <mergeCell ref="F131:F132"/>
    <mergeCell ref="G131:G132"/>
    <mergeCell ref="F151:F152"/>
    <mergeCell ref="G151:G152"/>
    <mergeCell ref="B156:B193"/>
    <mergeCell ref="C156:C193"/>
    <mergeCell ref="D156:D193"/>
    <mergeCell ref="E156:E193"/>
    <mergeCell ref="F177:F178"/>
    <mergeCell ref="G177:G178"/>
    <mergeCell ref="B195:B234"/>
    <mergeCell ref="C195:C234"/>
    <mergeCell ref="D195:D234"/>
    <mergeCell ref="E195:E234"/>
    <mergeCell ref="F199:F200"/>
    <mergeCell ref="G199:G200"/>
    <mergeCell ref="F214:F215"/>
    <mergeCell ref="G214:G215"/>
    <mergeCell ref="F217:F218"/>
    <mergeCell ref="G217:G218"/>
    <mergeCell ref="F219:F221"/>
    <mergeCell ref="G219:G221"/>
    <mergeCell ref="B236:B265"/>
    <mergeCell ref="C236:C265"/>
    <mergeCell ref="D236:D265"/>
    <mergeCell ref="E236:E265"/>
    <mergeCell ref="F238:F239"/>
    <mergeCell ref="G238:G239"/>
    <mergeCell ref="F242:F243"/>
    <mergeCell ref="G242:G243"/>
    <mergeCell ref="F244:F245"/>
    <mergeCell ref="G244:G245"/>
    <mergeCell ref="F246:F247"/>
    <mergeCell ref="G246:G247"/>
    <mergeCell ref="F248:F249"/>
    <mergeCell ref="G248:G249"/>
    <mergeCell ref="F259:F260"/>
    <mergeCell ref="G259:G260"/>
    <mergeCell ref="F263:F264"/>
    <mergeCell ref="G263:G264"/>
    <mergeCell ref="B266:E281"/>
    <mergeCell ref="B282:I282"/>
  </mergeCells>
  <printOptions headings="0" gridLines="0"/>
  <pageMargins left="0.19685039370078738" right="0.19685039370078738" top="0.78740157480314954" bottom="0.26000000000000001" header="0.51181102362204722" footer="0.21000000000000005"/>
  <pageSetup paperSize="9" scale="45" fitToWidth="1" fitToHeight="0" pageOrder="downThenOver" orientation="landscape" usePrinterDefaults="1" blackAndWhite="1" draft="0" cellComments="none" useFirstPageNumber="0" errors="displayed" horizontalDpi="600" verticalDpi="600" copies="1"/>
  <headerFooter>
    <oddFooter>&amp;CСтраница &amp;P из &amp;N
</oddFooter>
  </headerFooter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5002A-00A9-4203-9B33-005B00EE0059}" type="textLength" allowBlank="1" error="Допускается ввод не более 900 символов!" errorStyle="stop" errorTitle="Ошибка" imeMode="noControl" operator="lessThanOrEqual" showDropDown="0" showErrorMessage="1" showInputMessage="1">
          <x14:formula1>
            <xm:f>900</xm:f>
          </x14:formula1>
          <xm:sqref>G61 F29:G32 F124:G127 F83:G83 F94:G94 F65:G71 F98:G102 F14:G27 F44:G46 F34:G35 F41:G42 F48:G48 F37:G38 F74:F78 G74:G79 F86:G87 F91:G92 F107:G114 F116:G121 F131:G131 F129:G129 F144:G147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>ОАО "РАО ЭС ВОСТОКА"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Приструга Наталья Петровна</dc:creator>
  <cp:lastModifiedBy>starovetckaya_av</cp:lastModifiedBy>
  <cp:revision>2</cp:revision>
  <dcterms:created xsi:type="dcterms:W3CDTF">2015-10-28T15:00:45Z</dcterms:created>
  <dcterms:modified xsi:type="dcterms:W3CDTF">2026-04-17T05:15:39Z</dcterms:modified>
</cp:coreProperties>
</file>